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Universal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<sst xmlns="http://schemas.openxmlformats.org/spreadsheetml/2006/main" count="89" uniqueCount="68">
  <si>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 18-18</t>
  </si>
  <si>
    <t>BANCO UNIVERSAL, S.A.</t>
  </si>
  <si>
    <t>ESTADISTICA FINANCIERA.  TRIMESTRES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</si>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</sst>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4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3" fillId="0" borderId="15" xfId="46" applyNumberFormat="1" applyFont="1" applyBorder="1" applyAlignment="1">
      <alignment horizontal="right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2" fillId="0" borderId="17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0" xfId="46" applyNumberFormat="1" applyFont="1" applyFill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1" xfId="52" applyNumberFormat="1" applyFont="1" applyBorder="1" applyAlignment="1">
      <alignment/>
    </xf>
    <xf numFmtId="195" fontId="3" fillId="0" borderId="11" xfId="46" applyNumberFormat="1" applyFont="1" applyBorder="1" applyAlignment="1">
      <alignment/>
    </xf>
    <xf numFmtId="195" fontId="3" fillId="0" borderId="10" xfId="46" applyNumberFormat="1" applyFont="1" applyFill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3" fillId="0" borderId="0" xfId="46" applyNumberFormat="1" applyFont="1" applyBorder="1" applyAlignment="1">
      <alignment horizontal="center"/>
    </xf>
    <xf numFmtId="195" fontId="2" fillId="0" borderId="0" xfId="46" applyNumberFormat="1" applyFont="1" applyBorder="1" applyAlignment="1">
      <alignment horizontal="center"/>
    </xf>
    <xf numFmtId="49" fontId="2" fillId="0" borderId="12" xfId="46" applyNumberFormat="1" applyFont="1" applyBorder="1" applyAlignment="1">
      <alignment horizontal="center"/>
    </xf>
    <xf numFmtId="49" fontId="2" fillId="0" borderId="13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1" sqref="E21"/>
    </sheetView>
  </sheetViews>
  <sheetFormatPr defaultColWidth="11.421875" defaultRowHeight="12.75"/>
  <cols>
    <col min="1" max="1" width="3.7109375" style="3" customWidth="1"/>
    <col min="2" max="2" width="26.7109375" style="5" customWidth="1"/>
    <col min="3" max="3" width="7.421875" style="5" bestFit="1" customWidth="1"/>
    <col min="4" max="4" width="8.7109375" style="5" bestFit="1" customWidth="1"/>
    <col min="5" max="6" width="7.421875" style="5" bestFit="1" customWidth="1"/>
    <col min="7" max="7" width="7.421875" style="3" bestFit="1" customWidth="1"/>
    <col min="8" max="8" width="7.8515625" style="3" bestFit="1" customWidth="1"/>
    <col min="9" max="11" width="7.421875" style="3" bestFit="1" customWidth="1"/>
    <col min="12" max="12" width="7.8515625" style="3" bestFit="1" customWidth="1"/>
    <col min="13" max="14" width="7.421875" style="3" bestFit="1" customWidth="1"/>
    <col min="15" max="15" width="5.8515625" style="3" hidden="1" customWidth="1"/>
    <col min="16" max="16" width="0.13671875" style="3" hidden="1" customWidth="1"/>
    <col min="17" max="32" width="11.421875" style="3" customWidth="1"/>
    <col min="33" max="16384" width="11.421875" style="1" customWidth="1"/>
  </cols>
  <sheetData>
    <row r="1" spans="2:16" ht="11.25">
      <c r="B1" s="35"/>
      <c r="C1" s="35"/>
      <c r="D1" s="35"/>
      <c r="E1" s="35"/>
      <c r="F1" s="35"/>
      <c r="G1" s="35" t="s">
        <v>0</v>
      </c>
      <c r="H1" s="35"/>
      <c r="I1" s="35"/>
      <c r="J1" s="35"/>
      <c r="K1" s="35"/>
      <c r="L1" s="35"/>
      <c r="M1" s="35"/>
      <c r="N1" s="35"/>
      <c r="O1" s="35"/>
      <c r="P1" s="35"/>
    </row>
    <row r="2" spans="2:16" ht="11.25">
      <c r="B2" s="35"/>
      <c r="C2" s="35"/>
      <c r="D2" s="35"/>
      <c r="E2" s="35"/>
      <c r="F2" s="35"/>
      <c r="G2" s="35" t="s">
        <v>1</v>
      </c>
      <c r="H2" s="35"/>
      <c r="I2" s="35"/>
      <c r="J2" s="35"/>
      <c r="K2" s="35"/>
      <c r="L2" s="35"/>
      <c r="M2" s="35"/>
      <c r="N2" s="35"/>
      <c r="O2" s="35"/>
      <c r="P2" s="35"/>
    </row>
    <row r="3" spans="2:16" ht="11.25">
      <c r="B3" s="35"/>
      <c r="C3" s="35"/>
      <c r="D3" s="35"/>
      <c r="E3" s="35"/>
      <c r="F3" s="35"/>
      <c r="G3" s="35" t="s">
        <v>2</v>
      </c>
      <c r="H3" s="35"/>
      <c r="I3" s="35"/>
      <c r="J3" s="35"/>
      <c r="K3" s="35"/>
      <c r="L3" s="35"/>
      <c r="M3" s="35"/>
      <c r="N3" s="35"/>
      <c r="O3" s="35"/>
      <c r="P3" s="35"/>
    </row>
    <row r="4" spans="1:16" ht="11.25">
      <c r="A4" s="1"/>
      <c r="B4" s="34"/>
      <c r="C4" s="34"/>
      <c r="D4" s="34"/>
      <c r="E4" s="34"/>
      <c r="F4" s="34"/>
      <c r="G4" s="34" t="s">
        <v>3</v>
      </c>
      <c r="H4" s="34"/>
      <c r="I4" s="34"/>
      <c r="J4" s="34"/>
      <c r="K4" s="34"/>
      <c r="L4" s="34"/>
      <c r="M4" s="34"/>
      <c r="N4" s="34"/>
      <c r="O4" s="34"/>
      <c r="P4" s="34"/>
    </row>
    <row r="5" spans="1:16" ht="11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1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4"/>
      <c r="P6" s="4"/>
    </row>
    <row r="7" spans="1:32" s="2" customFormat="1" ht="11.25">
      <c r="A7" s="6"/>
      <c r="B7" s="6"/>
      <c r="C7" s="36">
        <v>2002</v>
      </c>
      <c r="D7" s="36"/>
      <c r="E7" s="36"/>
      <c r="F7" s="37"/>
      <c r="G7" s="36">
        <v>2001</v>
      </c>
      <c r="H7" s="36"/>
      <c r="I7" s="36"/>
      <c r="J7" s="36"/>
      <c r="K7" s="36">
        <v>2000</v>
      </c>
      <c r="L7" s="36"/>
      <c r="M7" s="36"/>
      <c r="N7" s="36"/>
      <c r="O7" s="36" t="s">
        <v>4</v>
      </c>
      <c r="P7" s="3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16" ht="11.25">
      <c r="A8" s="8"/>
      <c r="B8" s="8"/>
      <c r="C8" s="8" t="s">
        <v>5</v>
      </c>
      <c r="D8" s="8" t="s">
        <v>6</v>
      </c>
      <c r="E8" s="9" t="s">
        <v>7</v>
      </c>
      <c r="F8" s="10" t="s">
        <v>8</v>
      </c>
      <c r="G8" s="8" t="s">
        <v>5</v>
      </c>
      <c r="H8" s="8" t="s">
        <v>6</v>
      </c>
      <c r="I8" s="8" t="s">
        <v>7</v>
      </c>
      <c r="J8" s="8" t="s">
        <v>8</v>
      </c>
      <c r="K8" s="11" t="s">
        <v>5</v>
      </c>
      <c r="L8" s="8" t="s">
        <v>6</v>
      </c>
      <c r="M8" s="8" t="s">
        <v>7</v>
      </c>
      <c r="N8" s="8" t="s">
        <v>8</v>
      </c>
      <c r="O8" s="12" t="s">
        <v>9</v>
      </c>
      <c r="P8" s="13" t="s">
        <v>10</v>
      </c>
    </row>
    <row r="9" spans="1:16" ht="11.25">
      <c r="A9" s="14" t="s">
        <v>11</v>
      </c>
      <c r="B9" s="15"/>
      <c r="C9" s="15"/>
      <c r="D9" s="15"/>
      <c r="E9" s="15"/>
      <c r="F9" s="16"/>
      <c r="G9" s="14"/>
      <c r="H9" s="14"/>
      <c r="I9" s="14"/>
      <c r="J9" s="14"/>
      <c r="K9" s="17"/>
      <c r="L9" s="15"/>
      <c r="M9" s="15"/>
      <c r="N9" s="15"/>
      <c r="O9" s="15"/>
      <c r="P9" s="16"/>
    </row>
    <row r="10" spans="1:16" ht="11.25">
      <c r="A10" s="3" t="s">
        <v>12</v>
      </c>
      <c r="C10" s="3">
        <v>53974</v>
      </c>
      <c r="D10" s="3">
        <v>50036</v>
      </c>
      <c r="E10" s="5">
        <v>48682</v>
      </c>
      <c r="F10" s="18">
        <v>52327</v>
      </c>
      <c r="G10" s="3">
        <v>51842</v>
      </c>
      <c r="H10" s="3">
        <v>49708</v>
      </c>
      <c r="I10" s="3">
        <v>48881</v>
      </c>
      <c r="J10" s="3">
        <v>46754</v>
      </c>
      <c r="K10" s="19">
        <v>46251</v>
      </c>
      <c r="L10" s="5">
        <v>43679</v>
      </c>
      <c r="M10" s="5">
        <v>44835</v>
      </c>
      <c r="N10" s="5">
        <v>39750</v>
      </c>
      <c r="O10" s="5">
        <v>37690</v>
      </c>
      <c r="P10" s="18">
        <v>29432</v>
      </c>
    </row>
    <row r="11" spans="1:16" ht="11.25">
      <c r="A11" s="3" t="s">
        <v>13</v>
      </c>
      <c r="C11" s="3">
        <v>14030</v>
      </c>
      <c r="D11" s="3">
        <v>10150</v>
      </c>
      <c r="E11" s="5">
        <v>8629</v>
      </c>
      <c r="F11" s="18">
        <v>13724</v>
      </c>
      <c r="G11" s="3">
        <v>12832</v>
      </c>
      <c r="H11" s="3">
        <v>10441</v>
      </c>
      <c r="I11" s="3">
        <v>9008</v>
      </c>
      <c r="J11" s="3">
        <v>7271</v>
      </c>
      <c r="K11" s="19">
        <v>7477</v>
      </c>
      <c r="L11" s="5">
        <v>6674</v>
      </c>
      <c r="M11" s="5">
        <v>9619</v>
      </c>
      <c r="N11" s="5">
        <v>7093</v>
      </c>
      <c r="O11" s="5">
        <v>6497</v>
      </c>
      <c r="P11" s="18">
        <v>5112</v>
      </c>
    </row>
    <row r="12" spans="1:16" ht="11.25">
      <c r="A12" s="3" t="s">
        <v>14</v>
      </c>
      <c r="C12" s="5">
        <f aca="true" t="shared" si="0" ref="C12:P12">C13+C14</f>
        <v>35419</v>
      </c>
      <c r="D12" s="5">
        <f t="shared" si="0"/>
        <v>36113</v>
      </c>
      <c r="E12" s="5">
        <f t="shared" si="0"/>
        <v>36254</v>
      </c>
      <c r="F12" s="18">
        <f t="shared" si="0"/>
        <v>34933</v>
      </c>
      <c r="G12" s="3">
        <f t="shared" si="0"/>
        <v>35482</v>
      </c>
      <c r="H12" s="3">
        <f t="shared" si="0"/>
        <v>36633</v>
      </c>
      <c r="I12" s="3">
        <f t="shared" si="0"/>
        <v>37379</v>
      </c>
      <c r="J12" s="3">
        <f t="shared" si="0"/>
        <v>37098</v>
      </c>
      <c r="K12" s="19">
        <f t="shared" si="0"/>
        <v>36366</v>
      </c>
      <c r="L12" s="5">
        <f t="shared" si="0"/>
        <v>34409</v>
      </c>
      <c r="M12" s="5">
        <f t="shared" si="0"/>
        <v>32902</v>
      </c>
      <c r="N12" s="5">
        <f t="shared" si="0"/>
        <v>30231</v>
      </c>
      <c r="O12" s="5">
        <f t="shared" si="0"/>
        <v>29053</v>
      </c>
      <c r="P12" s="18">
        <f t="shared" si="0"/>
        <v>21219</v>
      </c>
    </row>
    <row r="13" spans="2:16" ht="11.25">
      <c r="B13" s="5" t="s">
        <v>15</v>
      </c>
      <c r="C13" s="3">
        <v>35419</v>
      </c>
      <c r="D13" s="3">
        <v>36113</v>
      </c>
      <c r="E13" s="5">
        <v>36254</v>
      </c>
      <c r="F13" s="18">
        <v>34933</v>
      </c>
      <c r="G13" s="3">
        <v>35482</v>
      </c>
      <c r="H13" s="3">
        <v>36633</v>
      </c>
      <c r="I13" s="3">
        <v>37379</v>
      </c>
      <c r="J13" s="3">
        <v>37098</v>
      </c>
      <c r="K13" s="19">
        <v>36366</v>
      </c>
      <c r="L13" s="5">
        <v>34409</v>
      </c>
      <c r="M13" s="5">
        <v>32902</v>
      </c>
      <c r="N13" s="5">
        <v>30231</v>
      </c>
      <c r="O13" s="5">
        <v>29053</v>
      </c>
      <c r="P13" s="18">
        <v>21219</v>
      </c>
    </row>
    <row r="14" spans="2:16" ht="11.25">
      <c r="B14" s="5" t="s">
        <v>16</v>
      </c>
      <c r="C14" s="3">
        <v>0</v>
      </c>
      <c r="D14" s="3">
        <v>0</v>
      </c>
      <c r="E14" s="5">
        <v>0</v>
      </c>
      <c r="F14" s="18">
        <v>0</v>
      </c>
      <c r="G14" s="3">
        <v>0</v>
      </c>
      <c r="H14" s="3">
        <v>0</v>
      </c>
      <c r="I14" s="3">
        <v>0</v>
      </c>
      <c r="J14" s="3">
        <v>0</v>
      </c>
      <c r="K14" s="19">
        <v>0</v>
      </c>
      <c r="L14" s="5">
        <v>0</v>
      </c>
      <c r="M14" s="5">
        <v>0</v>
      </c>
      <c r="N14" s="5">
        <v>0</v>
      </c>
      <c r="O14" s="5">
        <v>0</v>
      </c>
      <c r="P14" s="18">
        <v>0</v>
      </c>
    </row>
    <row r="15" spans="1:16" ht="11.25">
      <c r="A15" s="3" t="s">
        <v>17</v>
      </c>
      <c r="C15" s="3">
        <v>1660</v>
      </c>
      <c r="D15" s="3">
        <v>1261</v>
      </c>
      <c r="E15" s="5">
        <v>1261</v>
      </c>
      <c r="F15" s="18">
        <v>1261</v>
      </c>
      <c r="G15" s="3">
        <v>1312</v>
      </c>
      <c r="H15" s="3">
        <v>836</v>
      </c>
      <c r="I15" s="3">
        <v>834</v>
      </c>
      <c r="J15" s="3">
        <v>836</v>
      </c>
      <c r="K15" s="19">
        <v>824</v>
      </c>
      <c r="L15" s="5">
        <v>826</v>
      </c>
      <c r="M15" s="5">
        <v>673</v>
      </c>
      <c r="N15" s="5">
        <v>686</v>
      </c>
      <c r="O15" s="5">
        <v>542</v>
      </c>
      <c r="P15" s="18">
        <v>431</v>
      </c>
    </row>
    <row r="16" spans="1:16" ht="11.25">
      <c r="A16" s="3" t="s">
        <v>18</v>
      </c>
      <c r="C16" s="5">
        <f aca="true" t="shared" si="1" ref="C16:P16">C17+C21</f>
        <v>40374</v>
      </c>
      <c r="D16" s="5">
        <f t="shared" si="1"/>
        <v>37381</v>
      </c>
      <c r="E16" s="5">
        <f t="shared" si="1"/>
        <v>36268</v>
      </c>
      <c r="F16" s="18">
        <f t="shared" si="1"/>
        <v>40012</v>
      </c>
      <c r="G16" s="3">
        <f t="shared" si="1"/>
        <v>39721</v>
      </c>
      <c r="H16" s="3">
        <f t="shared" si="1"/>
        <v>37323</v>
      </c>
      <c r="I16" s="3">
        <f t="shared" si="1"/>
        <v>36437</v>
      </c>
      <c r="J16" s="3">
        <f t="shared" si="1"/>
        <v>34588</v>
      </c>
      <c r="K16" s="19">
        <f t="shared" si="1"/>
        <v>34193</v>
      </c>
      <c r="L16" s="5">
        <f t="shared" si="1"/>
        <v>32046</v>
      </c>
      <c r="M16" s="5">
        <f t="shared" si="1"/>
        <v>33218</v>
      </c>
      <c r="N16" s="5">
        <f t="shared" si="1"/>
        <v>28807</v>
      </c>
      <c r="O16" s="5">
        <f t="shared" si="1"/>
        <v>26729</v>
      </c>
      <c r="P16" s="18">
        <f t="shared" si="1"/>
        <v>19708</v>
      </c>
    </row>
    <row r="17" spans="2:16" ht="11.25">
      <c r="B17" s="5" t="s">
        <v>15</v>
      </c>
      <c r="C17" s="5">
        <f aca="true" t="shared" si="2" ref="C17:P17">SUM(C18:C20)</f>
        <v>40374</v>
      </c>
      <c r="D17" s="5">
        <f t="shared" si="2"/>
        <v>37381</v>
      </c>
      <c r="E17" s="5">
        <f t="shared" si="2"/>
        <v>36268</v>
      </c>
      <c r="F17" s="18">
        <f t="shared" si="2"/>
        <v>38919</v>
      </c>
      <c r="G17" s="3">
        <f t="shared" si="2"/>
        <v>38721</v>
      </c>
      <c r="H17" s="3">
        <f t="shared" si="2"/>
        <v>35323</v>
      </c>
      <c r="I17" s="3">
        <f t="shared" si="2"/>
        <v>34437</v>
      </c>
      <c r="J17" s="3">
        <f t="shared" si="2"/>
        <v>32588</v>
      </c>
      <c r="K17" s="19">
        <f t="shared" si="2"/>
        <v>34193</v>
      </c>
      <c r="L17" s="5">
        <f t="shared" si="2"/>
        <v>32046</v>
      </c>
      <c r="M17" s="5">
        <f t="shared" si="2"/>
        <v>31718</v>
      </c>
      <c r="N17" s="5">
        <f t="shared" si="2"/>
        <v>27307</v>
      </c>
      <c r="O17" s="5">
        <f t="shared" si="2"/>
        <v>25229</v>
      </c>
      <c r="P17" s="18">
        <f t="shared" si="2"/>
        <v>18208</v>
      </c>
    </row>
    <row r="18" spans="2:16" ht="11.25">
      <c r="B18" s="5" t="s">
        <v>19</v>
      </c>
      <c r="C18" s="3">
        <v>0</v>
      </c>
      <c r="D18" s="3">
        <v>0</v>
      </c>
      <c r="E18" s="5">
        <v>0</v>
      </c>
      <c r="F18" s="18">
        <v>0</v>
      </c>
      <c r="G18" s="3">
        <v>0</v>
      </c>
      <c r="H18" s="3">
        <v>0</v>
      </c>
      <c r="I18" s="3">
        <v>0</v>
      </c>
      <c r="J18" s="3">
        <v>0</v>
      </c>
      <c r="K18" s="19">
        <v>0</v>
      </c>
      <c r="L18" s="5">
        <v>0</v>
      </c>
      <c r="M18" s="5">
        <v>0</v>
      </c>
      <c r="N18" s="5">
        <v>0</v>
      </c>
      <c r="O18" s="5">
        <v>0</v>
      </c>
      <c r="P18" s="18">
        <v>0</v>
      </c>
    </row>
    <row r="19" spans="2:16" ht="11.25">
      <c r="B19" s="5" t="s">
        <v>20</v>
      </c>
      <c r="C19" s="3">
        <v>37726</v>
      </c>
      <c r="D19" s="3">
        <v>35664</v>
      </c>
      <c r="E19" s="5">
        <v>34495</v>
      </c>
      <c r="F19" s="18">
        <v>34500</v>
      </c>
      <c r="G19" s="3">
        <v>34699</v>
      </c>
      <c r="H19" s="3">
        <v>33295</v>
      </c>
      <c r="I19" s="3">
        <v>31383</v>
      </c>
      <c r="J19" s="3">
        <v>29541</v>
      </c>
      <c r="K19" s="19">
        <v>30135</v>
      </c>
      <c r="L19" s="5">
        <v>29992</v>
      </c>
      <c r="M19" s="5">
        <v>28644</v>
      </c>
      <c r="N19" s="5">
        <v>24112</v>
      </c>
      <c r="O19" s="5">
        <v>22159</v>
      </c>
      <c r="P19" s="18">
        <v>18176</v>
      </c>
    </row>
    <row r="20" spans="2:16" ht="11.25">
      <c r="B20" s="5" t="s">
        <v>21</v>
      </c>
      <c r="C20" s="3">
        <v>2648</v>
      </c>
      <c r="D20" s="3">
        <v>1717</v>
      </c>
      <c r="E20" s="5">
        <v>1773</v>
      </c>
      <c r="F20" s="18">
        <v>4419</v>
      </c>
      <c r="G20" s="3">
        <v>4022</v>
      </c>
      <c r="H20" s="3">
        <v>2028</v>
      </c>
      <c r="I20" s="3">
        <v>3054</v>
      </c>
      <c r="J20" s="3">
        <v>3047</v>
      </c>
      <c r="K20" s="19">
        <v>4058</v>
      </c>
      <c r="L20" s="5">
        <v>2054</v>
      </c>
      <c r="M20" s="5">
        <v>3074</v>
      </c>
      <c r="N20" s="5">
        <v>3195</v>
      </c>
      <c r="O20" s="5">
        <v>3070</v>
      </c>
      <c r="P20" s="18">
        <v>32</v>
      </c>
    </row>
    <row r="21" spans="2:16" ht="11.25">
      <c r="B21" s="5" t="s">
        <v>16</v>
      </c>
      <c r="C21" s="3">
        <f>SUM(C22:C24)</f>
        <v>0</v>
      </c>
      <c r="D21" s="5">
        <f aca="true" t="shared" si="3" ref="D21:P21">SUM(D23:D24)</f>
        <v>0</v>
      </c>
      <c r="E21" s="5">
        <f t="shared" si="3"/>
        <v>0</v>
      </c>
      <c r="F21" s="18">
        <f t="shared" si="3"/>
        <v>1093</v>
      </c>
      <c r="G21" s="3">
        <f t="shared" si="3"/>
        <v>1000</v>
      </c>
      <c r="H21" s="3">
        <f t="shared" si="3"/>
        <v>2000</v>
      </c>
      <c r="I21" s="3">
        <f t="shared" si="3"/>
        <v>2000</v>
      </c>
      <c r="J21" s="3">
        <f t="shared" si="3"/>
        <v>2000</v>
      </c>
      <c r="K21" s="19">
        <f t="shared" si="3"/>
        <v>0</v>
      </c>
      <c r="L21" s="5">
        <f t="shared" si="3"/>
        <v>0</v>
      </c>
      <c r="M21" s="5">
        <f t="shared" si="3"/>
        <v>1500</v>
      </c>
      <c r="N21" s="5">
        <f t="shared" si="3"/>
        <v>1500</v>
      </c>
      <c r="O21" s="5">
        <f t="shared" si="3"/>
        <v>1500</v>
      </c>
      <c r="P21" s="18">
        <f t="shared" si="3"/>
        <v>1500</v>
      </c>
    </row>
    <row r="22" spans="2:16" ht="11.25">
      <c r="B22" s="3" t="s">
        <v>19</v>
      </c>
      <c r="C22" s="3">
        <v>0</v>
      </c>
      <c r="D22" s="5">
        <v>0</v>
      </c>
      <c r="E22" s="5">
        <v>0</v>
      </c>
      <c r="F22" s="18">
        <v>0</v>
      </c>
      <c r="G22" s="3">
        <v>0</v>
      </c>
      <c r="H22" s="3">
        <v>0</v>
      </c>
      <c r="I22" s="3">
        <v>0</v>
      </c>
      <c r="J22" s="3">
        <v>0</v>
      </c>
      <c r="K22" s="19">
        <v>0</v>
      </c>
      <c r="L22" s="5">
        <v>0</v>
      </c>
      <c r="M22" s="5">
        <v>0</v>
      </c>
      <c r="N22" s="5">
        <v>0</v>
      </c>
      <c r="O22" s="5"/>
      <c r="P22" s="18"/>
    </row>
    <row r="23" spans="2:16" ht="11.25">
      <c r="B23" s="5" t="s">
        <v>20</v>
      </c>
      <c r="C23" s="3">
        <v>0</v>
      </c>
      <c r="D23" s="3">
        <v>0</v>
      </c>
      <c r="E23" s="5">
        <v>0</v>
      </c>
      <c r="F23" s="18">
        <v>0</v>
      </c>
      <c r="G23" s="3">
        <v>0</v>
      </c>
      <c r="H23" s="3">
        <v>0</v>
      </c>
      <c r="I23" s="3">
        <v>0</v>
      </c>
      <c r="J23" s="3">
        <v>0</v>
      </c>
      <c r="K23" s="19">
        <v>0</v>
      </c>
      <c r="L23" s="5">
        <v>0</v>
      </c>
      <c r="M23" s="5">
        <v>0</v>
      </c>
      <c r="N23" s="5">
        <v>0</v>
      </c>
      <c r="O23" s="5">
        <v>0</v>
      </c>
      <c r="P23" s="18">
        <v>0</v>
      </c>
    </row>
    <row r="24" spans="2:16" ht="11.25">
      <c r="B24" s="5" t="s">
        <v>21</v>
      </c>
      <c r="C24" s="3">
        <v>0</v>
      </c>
      <c r="D24" s="3">
        <v>0</v>
      </c>
      <c r="E24" s="20">
        <v>0</v>
      </c>
      <c r="F24" s="18">
        <v>1093</v>
      </c>
      <c r="G24" s="3">
        <v>1000</v>
      </c>
      <c r="H24" s="3">
        <v>2000</v>
      </c>
      <c r="I24" s="3">
        <v>2000</v>
      </c>
      <c r="J24" s="3">
        <v>2000</v>
      </c>
      <c r="K24" s="19">
        <v>0</v>
      </c>
      <c r="L24" s="5">
        <v>0</v>
      </c>
      <c r="M24" s="5">
        <v>1500</v>
      </c>
      <c r="N24" s="5">
        <v>1500</v>
      </c>
      <c r="O24" s="5">
        <v>1500</v>
      </c>
      <c r="P24" s="18">
        <v>1500</v>
      </c>
    </row>
    <row r="25" spans="1:16" ht="11.25">
      <c r="A25" s="4" t="s">
        <v>22</v>
      </c>
      <c r="B25" s="4"/>
      <c r="C25" s="4">
        <v>10637</v>
      </c>
      <c r="D25" s="4">
        <v>10040</v>
      </c>
      <c r="E25" s="4">
        <v>9772</v>
      </c>
      <c r="F25" s="21">
        <v>9467</v>
      </c>
      <c r="G25" s="4">
        <v>9686</v>
      </c>
      <c r="H25" s="4">
        <v>9650</v>
      </c>
      <c r="I25" s="4">
        <v>9351</v>
      </c>
      <c r="J25" s="4">
        <v>9177</v>
      </c>
      <c r="K25" s="22">
        <v>9290</v>
      </c>
      <c r="L25" s="4">
        <v>9005</v>
      </c>
      <c r="M25" s="4">
        <v>8660</v>
      </c>
      <c r="N25" s="4">
        <v>8387</v>
      </c>
      <c r="O25" s="4">
        <v>8411</v>
      </c>
      <c r="P25" s="21">
        <v>7744</v>
      </c>
    </row>
    <row r="26" spans="1:16" ht="11.25">
      <c r="A26" s="14" t="s">
        <v>23</v>
      </c>
      <c r="C26" s="3"/>
      <c r="D26" s="3"/>
      <c r="F26" s="18"/>
      <c r="K26" s="19"/>
      <c r="L26" s="5"/>
      <c r="M26" s="5"/>
      <c r="N26" s="5"/>
      <c r="O26" s="5"/>
      <c r="P26" s="18"/>
    </row>
    <row r="27" spans="1:16" ht="11.25">
      <c r="A27" s="3" t="s">
        <v>12</v>
      </c>
      <c r="C27" s="5">
        <f aca="true" t="shared" si="4" ref="C27:I27">(C10+G10)/2</f>
        <v>52908</v>
      </c>
      <c r="D27" s="5">
        <f t="shared" si="4"/>
        <v>49872</v>
      </c>
      <c r="E27" s="5">
        <f t="shared" si="4"/>
        <v>48781.5</v>
      </c>
      <c r="F27" s="18">
        <f t="shared" si="4"/>
        <v>49540.5</v>
      </c>
      <c r="G27" s="3">
        <f t="shared" si="4"/>
        <v>49046.5</v>
      </c>
      <c r="H27" s="3">
        <f t="shared" si="4"/>
        <v>46693.5</v>
      </c>
      <c r="I27" s="3">
        <f t="shared" si="4"/>
        <v>46858</v>
      </c>
      <c r="J27" s="3">
        <f>+(J10+N10)/2</f>
        <v>43252</v>
      </c>
      <c r="K27" s="19">
        <f>+(K10+O10)/2</f>
        <v>41970.5</v>
      </c>
      <c r="L27" s="5">
        <v>40148</v>
      </c>
      <c r="M27" s="5">
        <v>38259</v>
      </c>
      <c r="N27" s="5">
        <v>35781</v>
      </c>
      <c r="O27" s="5">
        <f>(O10+P10)/2</f>
        <v>33561</v>
      </c>
      <c r="P27" s="18">
        <f>(P10+19747)/2</f>
        <v>24589.5</v>
      </c>
    </row>
    <row r="28" spans="1:16" ht="11.25">
      <c r="A28" s="3" t="s">
        <v>24</v>
      </c>
      <c r="C28" s="5">
        <f aca="true" t="shared" si="5" ref="C28:P28">C29+C30</f>
        <v>36936.5</v>
      </c>
      <c r="D28" s="5">
        <f t="shared" si="5"/>
        <v>37421.5</v>
      </c>
      <c r="E28" s="5">
        <f t="shared" si="5"/>
        <v>37864</v>
      </c>
      <c r="F28" s="18">
        <f t="shared" si="5"/>
        <v>37064</v>
      </c>
      <c r="G28" s="3">
        <f t="shared" si="5"/>
        <v>36992</v>
      </c>
      <c r="H28" s="3">
        <f t="shared" si="5"/>
        <v>36352</v>
      </c>
      <c r="I28" s="3">
        <f t="shared" si="5"/>
        <v>35894</v>
      </c>
      <c r="J28" s="3">
        <f t="shared" si="5"/>
        <v>34425.5</v>
      </c>
      <c r="K28" s="19">
        <f t="shared" si="5"/>
        <v>33392.5</v>
      </c>
      <c r="L28" s="5">
        <f t="shared" si="5"/>
        <v>31478</v>
      </c>
      <c r="M28" s="5">
        <f t="shared" si="5"/>
        <v>29537</v>
      </c>
      <c r="N28" s="5">
        <f t="shared" si="5"/>
        <v>27159</v>
      </c>
      <c r="O28" s="5">
        <f t="shared" si="5"/>
        <v>25622.5</v>
      </c>
      <c r="P28" s="18">
        <f t="shared" si="5"/>
        <v>16999.5</v>
      </c>
    </row>
    <row r="29" spans="2:16" ht="11.25">
      <c r="B29" s="5" t="s">
        <v>14</v>
      </c>
      <c r="C29" s="5">
        <f aca="true" t="shared" si="6" ref="C29:I29">(C12+G12)/2</f>
        <v>35450.5</v>
      </c>
      <c r="D29" s="5">
        <f t="shared" si="6"/>
        <v>36373</v>
      </c>
      <c r="E29" s="5">
        <f t="shared" si="6"/>
        <v>36816.5</v>
      </c>
      <c r="F29" s="18">
        <f t="shared" si="6"/>
        <v>36015.5</v>
      </c>
      <c r="G29" s="3">
        <f t="shared" si="6"/>
        <v>35924</v>
      </c>
      <c r="H29" s="3">
        <f t="shared" si="6"/>
        <v>35521</v>
      </c>
      <c r="I29" s="3">
        <f t="shared" si="6"/>
        <v>35140.5</v>
      </c>
      <c r="J29" s="3">
        <f>+(J12+N12)/2</f>
        <v>33664.5</v>
      </c>
      <c r="K29" s="19">
        <f>+(K12+O12)/2</f>
        <v>32709.5</v>
      </c>
      <c r="L29" s="5">
        <v>30846</v>
      </c>
      <c r="M29" s="5">
        <v>28982</v>
      </c>
      <c r="N29" s="5">
        <v>26599</v>
      </c>
      <c r="O29" s="5">
        <f>(O12+P12)/2</f>
        <v>25136</v>
      </c>
      <c r="P29" s="18">
        <f>(P12+11930)/2</f>
        <v>16574.5</v>
      </c>
    </row>
    <row r="30" spans="2:16" ht="11.25">
      <c r="B30" s="5" t="s">
        <v>17</v>
      </c>
      <c r="C30" s="5">
        <f aca="true" t="shared" si="7" ref="C30:I30">(C15+G15)/2</f>
        <v>1486</v>
      </c>
      <c r="D30" s="5">
        <f t="shared" si="7"/>
        <v>1048.5</v>
      </c>
      <c r="E30" s="5">
        <f t="shared" si="7"/>
        <v>1047.5</v>
      </c>
      <c r="F30" s="18">
        <f t="shared" si="7"/>
        <v>1048.5</v>
      </c>
      <c r="G30" s="3">
        <f t="shared" si="7"/>
        <v>1068</v>
      </c>
      <c r="H30" s="3">
        <f t="shared" si="7"/>
        <v>831</v>
      </c>
      <c r="I30" s="3">
        <f t="shared" si="7"/>
        <v>753.5</v>
      </c>
      <c r="J30" s="3">
        <f>+(J15+N15)/2</f>
        <v>761</v>
      </c>
      <c r="K30" s="19">
        <f>+(K15+O15)/2</f>
        <v>683</v>
      </c>
      <c r="L30" s="5">
        <v>632</v>
      </c>
      <c r="M30" s="5">
        <v>555</v>
      </c>
      <c r="N30" s="5">
        <v>560</v>
      </c>
      <c r="O30" s="5">
        <f>(O15+P15)/2</f>
        <v>486.5</v>
      </c>
      <c r="P30" s="18">
        <f>(P15+419)/2</f>
        <v>425</v>
      </c>
    </row>
    <row r="31" spans="1:16" ht="11.25">
      <c r="A31" s="4" t="s">
        <v>22</v>
      </c>
      <c r="B31" s="4"/>
      <c r="C31" s="4">
        <f aca="true" t="shared" si="8" ref="C31:I31">(C25+G25)/2</f>
        <v>10161.5</v>
      </c>
      <c r="D31" s="4">
        <f t="shared" si="8"/>
        <v>9845</v>
      </c>
      <c r="E31" s="4">
        <f t="shared" si="8"/>
        <v>9561.5</v>
      </c>
      <c r="F31" s="21">
        <f t="shared" si="8"/>
        <v>9322</v>
      </c>
      <c r="G31" s="4">
        <f t="shared" si="8"/>
        <v>9488</v>
      </c>
      <c r="H31" s="4">
        <f t="shared" si="8"/>
        <v>9327.5</v>
      </c>
      <c r="I31" s="4">
        <f t="shared" si="8"/>
        <v>9005.5</v>
      </c>
      <c r="J31" s="4">
        <f>+(J25+N25)/2</f>
        <v>8782</v>
      </c>
      <c r="K31" s="22">
        <f>+(K25+O25)/2</f>
        <v>8850.5</v>
      </c>
      <c r="L31" s="4">
        <v>8625</v>
      </c>
      <c r="M31" s="4">
        <v>8331</v>
      </c>
      <c r="N31" s="4">
        <v>8164</v>
      </c>
      <c r="O31" s="4">
        <f>(O25+P25)/2</f>
        <v>8077.5</v>
      </c>
      <c r="P31" s="21">
        <f>(P25+4020)/2</f>
        <v>5882</v>
      </c>
    </row>
    <row r="32" spans="1:16" ht="11.25">
      <c r="A32" s="14" t="s">
        <v>25</v>
      </c>
      <c r="C32" s="3"/>
      <c r="D32" s="3"/>
      <c r="F32" s="18"/>
      <c r="K32" s="19"/>
      <c r="L32" s="5"/>
      <c r="M32" s="5"/>
      <c r="N32" s="5"/>
      <c r="O32" s="5"/>
      <c r="P32" s="18"/>
    </row>
    <row r="33" spans="1:16" ht="11.25">
      <c r="A33" s="3" t="s">
        <v>26</v>
      </c>
      <c r="C33" s="3">
        <v>4221</v>
      </c>
      <c r="D33" s="3">
        <v>3227</v>
      </c>
      <c r="E33" s="5">
        <v>2125</v>
      </c>
      <c r="F33" s="18">
        <v>1058</v>
      </c>
      <c r="G33" s="3">
        <v>4840</v>
      </c>
      <c r="H33" s="3">
        <v>3689</v>
      </c>
      <c r="I33" s="3">
        <v>2474</v>
      </c>
      <c r="J33" s="3">
        <v>1226</v>
      </c>
      <c r="K33" s="19">
        <v>4555</v>
      </c>
      <c r="L33" s="5">
        <v>3310</v>
      </c>
      <c r="M33" s="5">
        <v>2115</v>
      </c>
      <c r="N33" s="5">
        <v>1019</v>
      </c>
      <c r="O33" s="5">
        <v>3443</v>
      </c>
      <c r="P33" s="18">
        <v>2581</v>
      </c>
    </row>
    <row r="34" spans="1:16" ht="11.25">
      <c r="A34" s="3" t="s">
        <v>27</v>
      </c>
      <c r="C34" s="3">
        <v>2257</v>
      </c>
      <c r="D34" s="3">
        <v>1741</v>
      </c>
      <c r="E34" s="5">
        <v>1158</v>
      </c>
      <c r="F34" s="18">
        <v>577</v>
      </c>
      <c r="G34" s="3">
        <v>2761</v>
      </c>
      <c r="H34" s="3">
        <v>2113</v>
      </c>
      <c r="I34" s="3">
        <v>1419</v>
      </c>
      <c r="J34" s="3">
        <v>694</v>
      </c>
      <c r="K34" s="19">
        <v>2493</v>
      </c>
      <c r="L34" s="5">
        <v>1832</v>
      </c>
      <c r="M34" s="5">
        <v>1165</v>
      </c>
      <c r="N34" s="5">
        <v>568</v>
      </c>
      <c r="O34" s="5">
        <v>1870</v>
      </c>
      <c r="P34" s="18">
        <v>1221</v>
      </c>
    </row>
    <row r="35" spans="1:16" ht="11.25">
      <c r="A35" s="3" t="s">
        <v>28</v>
      </c>
      <c r="C35" s="5">
        <f>+C33-C34</f>
        <v>1964</v>
      </c>
      <c r="D35" s="5">
        <f>+D33-D34</f>
        <v>1486</v>
      </c>
      <c r="E35" s="5">
        <f>+E33-E34</f>
        <v>967</v>
      </c>
      <c r="F35" s="18">
        <f>+F33-F34</f>
        <v>481</v>
      </c>
      <c r="G35" s="3">
        <f aca="true" t="shared" si="9" ref="G35:P35">G33-G34</f>
        <v>2079</v>
      </c>
      <c r="H35" s="3">
        <f t="shared" si="9"/>
        <v>1576</v>
      </c>
      <c r="I35" s="3">
        <f t="shared" si="9"/>
        <v>1055</v>
      </c>
      <c r="J35" s="3">
        <f t="shared" si="9"/>
        <v>532</v>
      </c>
      <c r="K35" s="19">
        <f t="shared" si="9"/>
        <v>2062</v>
      </c>
      <c r="L35" s="5">
        <f t="shared" si="9"/>
        <v>1478</v>
      </c>
      <c r="M35" s="5">
        <f t="shared" si="9"/>
        <v>950</v>
      </c>
      <c r="N35" s="5">
        <f t="shared" si="9"/>
        <v>451</v>
      </c>
      <c r="O35" s="5">
        <f t="shared" si="9"/>
        <v>1573</v>
      </c>
      <c r="P35" s="18">
        <f t="shared" si="9"/>
        <v>1360</v>
      </c>
    </row>
    <row r="36" spans="1:16" ht="11.25">
      <c r="A36" s="3" t="s">
        <v>29</v>
      </c>
      <c r="C36" s="3">
        <v>1416</v>
      </c>
      <c r="D36" s="3">
        <v>1013</v>
      </c>
      <c r="E36" s="5">
        <v>690</v>
      </c>
      <c r="F36" s="18">
        <v>329</v>
      </c>
      <c r="G36" s="3">
        <v>1168</v>
      </c>
      <c r="H36" s="3">
        <v>847</v>
      </c>
      <c r="I36" s="3">
        <v>552</v>
      </c>
      <c r="J36" s="3">
        <v>300</v>
      </c>
      <c r="K36" s="19">
        <v>810</v>
      </c>
      <c r="L36" s="5">
        <v>586</v>
      </c>
      <c r="M36" s="5">
        <v>378</v>
      </c>
      <c r="N36" s="5">
        <v>155</v>
      </c>
      <c r="O36" s="5">
        <v>391</v>
      </c>
      <c r="P36" s="18">
        <v>52</v>
      </c>
    </row>
    <row r="37" spans="1:16" ht="11.25">
      <c r="A37" s="3" t="s">
        <v>30</v>
      </c>
      <c r="C37" s="5">
        <f>+C36+C35</f>
        <v>3380</v>
      </c>
      <c r="D37" s="5">
        <f>+D36+D35</f>
        <v>2499</v>
      </c>
      <c r="E37" s="5">
        <f>+E36+E35</f>
        <v>1657</v>
      </c>
      <c r="F37" s="18">
        <f>+F36+F35</f>
        <v>810</v>
      </c>
      <c r="G37" s="3">
        <f aca="true" t="shared" si="10" ref="G37:P37">G35+G36</f>
        <v>3247</v>
      </c>
      <c r="H37" s="3">
        <f t="shared" si="10"/>
        <v>2423</v>
      </c>
      <c r="I37" s="3">
        <f t="shared" si="10"/>
        <v>1607</v>
      </c>
      <c r="J37" s="3">
        <f t="shared" si="10"/>
        <v>832</v>
      </c>
      <c r="K37" s="19">
        <f t="shared" si="10"/>
        <v>2872</v>
      </c>
      <c r="L37" s="5">
        <f t="shared" si="10"/>
        <v>2064</v>
      </c>
      <c r="M37" s="5">
        <f t="shared" si="10"/>
        <v>1328</v>
      </c>
      <c r="N37" s="5">
        <f t="shared" si="10"/>
        <v>606</v>
      </c>
      <c r="O37" s="5">
        <f t="shared" si="10"/>
        <v>1964</v>
      </c>
      <c r="P37" s="18">
        <f t="shared" si="10"/>
        <v>1412</v>
      </c>
    </row>
    <row r="38" spans="1:16" ht="11.25">
      <c r="A38" s="3" t="s">
        <v>31</v>
      </c>
      <c r="C38" s="3">
        <v>2105</v>
      </c>
      <c r="D38" s="3">
        <v>1479</v>
      </c>
      <c r="E38" s="5">
        <v>999</v>
      </c>
      <c r="F38" s="18">
        <v>508</v>
      </c>
      <c r="G38" s="3">
        <v>1906</v>
      </c>
      <c r="H38" s="3">
        <v>1357</v>
      </c>
      <c r="I38" s="3">
        <v>890</v>
      </c>
      <c r="J38" s="3">
        <v>360</v>
      </c>
      <c r="K38" s="19">
        <v>1573</v>
      </c>
      <c r="L38" s="5">
        <v>1144</v>
      </c>
      <c r="M38" s="5">
        <v>796</v>
      </c>
      <c r="N38" s="5">
        <v>366</v>
      </c>
      <c r="O38" s="5">
        <v>1254</v>
      </c>
      <c r="P38" s="18">
        <v>965</v>
      </c>
    </row>
    <row r="39" spans="1:16" ht="11.25">
      <c r="A39" s="3" t="s">
        <v>32</v>
      </c>
      <c r="C39" s="5">
        <f>+C37-C38</f>
        <v>1275</v>
      </c>
      <c r="D39" s="5">
        <f>+D37-D38</f>
        <v>1020</v>
      </c>
      <c r="E39" s="5">
        <f>+E37-E38</f>
        <v>658</v>
      </c>
      <c r="F39" s="18">
        <f>+F37-F38</f>
        <v>302</v>
      </c>
      <c r="G39" s="3">
        <f aca="true" t="shared" si="11" ref="G39:P39">G37-G38</f>
        <v>1341</v>
      </c>
      <c r="H39" s="3">
        <f t="shared" si="11"/>
        <v>1066</v>
      </c>
      <c r="I39" s="3">
        <f t="shared" si="11"/>
        <v>717</v>
      </c>
      <c r="J39" s="3">
        <f t="shared" si="11"/>
        <v>472</v>
      </c>
      <c r="K39" s="19">
        <f t="shared" si="11"/>
        <v>1299</v>
      </c>
      <c r="L39" s="5">
        <f t="shared" si="11"/>
        <v>920</v>
      </c>
      <c r="M39" s="5">
        <f t="shared" si="11"/>
        <v>532</v>
      </c>
      <c r="N39" s="5">
        <f t="shared" si="11"/>
        <v>240</v>
      </c>
      <c r="O39" s="5">
        <f t="shared" si="11"/>
        <v>710</v>
      </c>
      <c r="P39" s="18">
        <f t="shared" si="11"/>
        <v>447</v>
      </c>
    </row>
    <row r="40" spans="1:16" ht="11.25">
      <c r="A40" s="4" t="s">
        <v>33</v>
      </c>
      <c r="B40" s="4"/>
      <c r="C40" s="4">
        <v>890</v>
      </c>
      <c r="D40" s="4">
        <v>795</v>
      </c>
      <c r="E40" s="4">
        <v>507</v>
      </c>
      <c r="F40" s="21">
        <f>+F39-75</f>
        <v>227</v>
      </c>
      <c r="G40" s="4">
        <v>938</v>
      </c>
      <c r="H40" s="4">
        <v>905</v>
      </c>
      <c r="I40" s="4">
        <v>633</v>
      </c>
      <c r="J40" s="4">
        <v>462</v>
      </c>
      <c r="K40" s="22">
        <v>1130</v>
      </c>
      <c r="L40" s="4">
        <v>846</v>
      </c>
      <c r="M40" s="4">
        <v>501</v>
      </c>
      <c r="N40" s="4">
        <v>229</v>
      </c>
      <c r="O40" s="4">
        <v>672</v>
      </c>
      <c r="P40" s="21">
        <v>447</v>
      </c>
    </row>
    <row r="41" spans="1:16" ht="11.25">
      <c r="A41" s="14" t="s">
        <v>34</v>
      </c>
      <c r="C41" s="3"/>
      <c r="D41" s="3"/>
      <c r="F41" s="18"/>
      <c r="K41" s="19"/>
      <c r="L41" s="5"/>
      <c r="M41" s="5"/>
      <c r="N41" s="5"/>
      <c r="O41" s="5"/>
      <c r="P41" s="18"/>
    </row>
    <row r="42" spans="1:16" ht="11.25">
      <c r="A42" s="3" t="s">
        <v>35</v>
      </c>
      <c r="C42" s="3">
        <v>1798</v>
      </c>
      <c r="D42" s="3">
        <v>2689</v>
      </c>
      <c r="E42" s="5">
        <v>2899</v>
      </c>
      <c r="F42" s="18">
        <v>2596</v>
      </c>
      <c r="G42" s="3">
        <v>2519</v>
      </c>
      <c r="H42" s="3">
        <v>2995</v>
      </c>
      <c r="I42" s="3">
        <v>2922</v>
      </c>
      <c r="J42" s="3">
        <v>2776</v>
      </c>
      <c r="K42" s="19">
        <v>187</v>
      </c>
      <c r="L42" s="5">
        <v>81</v>
      </c>
      <c r="M42" s="5">
        <v>192</v>
      </c>
      <c r="N42" s="5">
        <v>89</v>
      </c>
      <c r="O42" s="5">
        <v>126</v>
      </c>
      <c r="P42" s="18">
        <v>342</v>
      </c>
    </row>
    <row r="43" spans="1:16" ht="11.25">
      <c r="A43" s="3" t="s">
        <v>36</v>
      </c>
      <c r="C43" s="3">
        <v>939</v>
      </c>
      <c r="D43" s="3">
        <v>797</v>
      </c>
      <c r="E43" s="5">
        <v>722</v>
      </c>
      <c r="F43" s="18">
        <v>647</v>
      </c>
      <c r="G43" s="3">
        <v>355</v>
      </c>
      <c r="H43" s="3">
        <v>521</v>
      </c>
      <c r="I43" s="3">
        <v>496</v>
      </c>
      <c r="J43" s="3">
        <v>371</v>
      </c>
      <c r="K43" s="19">
        <v>361</v>
      </c>
      <c r="L43" s="5">
        <v>186</v>
      </c>
      <c r="M43" s="5">
        <v>142</v>
      </c>
      <c r="N43" s="5">
        <v>122</v>
      </c>
      <c r="O43" s="5">
        <v>141</v>
      </c>
      <c r="P43" s="18">
        <v>70</v>
      </c>
    </row>
    <row r="44" spans="1:16" ht="11.25">
      <c r="A44" s="3" t="s">
        <v>37</v>
      </c>
      <c r="C44" s="23">
        <f aca="true" t="shared" si="12" ref="C44:P44">C42/C12</f>
        <v>0.050763714390581326</v>
      </c>
      <c r="D44" s="23">
        <f t="shared" si="12"/>
        <v>0.07446072051615761</v>
      </c>
      <c r="E44" s="23">
        <f t="shared" si="12"/>
        <v>0.07996359022452695</v>
      </c>
      <c r="F44" s="24">
        <f t="shared" si="12"/>
        <v>0.07431368619929579</v>
      </c>
      <c r="G44" s="25">
        <f t="shared" si="12"/>
        <v>0.07099374330646525</v>
      </c>
      <c r="H44" s="25">
        <f t="shared" si="12"/>
        <v>0.08175688586793328</v>
      </c>
      <c r="I44" s="25">
        <f t="shared" si="12"/>
        <v>0.07817223574734476</v>
      </c>
      <c r="J44" s="25">
        <f t="shared" si="12"/>
        <v>0.0748288317429511</v>
      </c>
      <c r="K44" s="26">
        <f t="shared" si="12"/>
        <v>0.00514216575922565</v>
      </c>
      <c r="L44" s="23">
        <f t="shared" si="12"/>
        <v>0.002354035281467058</v>
      </c>
      <c r="M44" s="23">
        <f t="shared" si="12"/>
        <v>0.005835511519056593</v>
      </c>
      <c r="N44" s="23">
        <f t="shared" si="12"/>
        <v>0.0029439978829678146</v>
      </c>
      <c r="O44" s="5">
        <f t="shared" si="12"/>
        <v>0.004336901524799504</v>
      </c>
      <c r="P44" s="18">
        <f t="shared" si="12"/>
        <v>0.016117630425561996</v>
      </c>
    </row>
    <row r="45" spans="1:16" ht="11.25">
      <c r="A45" s="3" t="s">
        <v>38</v>
      </c>
      <c r="C45" s="23">
        <f aca="true" t="shared" si="13" ref="C45:P45">C43/C42</f>
        <v>0.5222469410456062</v>
      </c>
      <c r="D45" s="23">
        <f t="shared" si="13"/>
        <v>0.29639271104499815</v>
      </c>
      <c r="E45" s="23">
        <f t="shared" si="13"/>
        <v>0.24905139703345983</v>
      </c>
      <c r="F45" s="24">
        <f t="shared" si="13"/>
        <v>0.2492295839753467</v>
      </c>
      <c r="G45" s="25">
        <f t="shared" si="13"/>
        <v>0.1409289400555776</v>
      </c>
      <c r="H45" s="25">
        <f t="shared" si="13"/>
        <v>0.17395659432387311</v>
      </c>
      <c r="I45" s="25">
        <f t="shared" si="13"/>
        <v>0.1697467488021903</v>
      </c>
      <c r="J45" s="25">
        <f t="shared" si="13"/>
        <v>0.1336455331412104</v>
      </c>
      <c r="K45" s="26">
        <f t="shared" si="13"/>
        <v>1.9304812834224598</v>
      </c>
      <c r="L45" s="23">
        <f t="shared" si="13"/>
        <v>2.2962962962962963</v>
      </c>
      <c r="M45" s="23">
        <f t="shared" si="13"/>
        <v>0.7395833333333334</v>
      </c>
      <c r="N45" s="23">
        <f t="shared" si="13"/>
        <v>1.3707865168539326</v>
      </c>
      <c r="O45" s="5">
        <f t="shared" si="13"/>
        <v>1.119047619047619</v>
      </c>
      <c r="P45" s="18">
        <f t="shared" si="13"/>
        <v>0.2046783625730994</v>
      </c>
    </row>
    <row r="46" spans="1:16" ht="11.25">
      <c r="A46" s="4" t="s">
        <v>39</v>
      </c>
      <c r="B46" s="4"/>
      <c r="C46" s="27">
        <f aca="true" t="shared" si="14" ref="C46:P46">C43/C12</f>
        <v>0.02651119455659392</v>
      </c>
      <c r="D46" s="27">
        <f t="shared" si="14"/>
        <v>0.022069614820147868</v>
      </c>
      <c r="E46" s="27">
        <f t="shared" si="14"/>
        <v>0.019915043857229548</v>
      </c>
      <c r="F46" s="28">
        <f t="shared" si="14"/>
        <v>0.018521169095124954</v>
      </c>
      <c r="G46" s="27">
        <f t="shared" si="14"/>
        <v>0.010005072994757905</v>
      </c>
      <c r="H46" s="27">
        <f t="shared" si="14"/>
        <v>0.014222149428111265</v>
      </c>
      <c r="I46" s="27">
        <f t="shared" si="14"/>
        <v>0.01326948286471013</v>
      </c>
      <c r="J46" s="27">
        <f t="shared" si="14"/>
        <v>0.010000539112620626</v>
      </c>
      <c r="K46" s="29">
        <f t="shared" si="14"/>
        <v>0.009926854754440962</v>
      </c>
      <c r="L46" s="27">
        <f t="shared" si="14"/>
        <v>0.005405562498183615</v>
      </c>
      <c r="M46" s="27">
        <f t="shared" si="14"/>
        <v>0.0043158470609689385</v>
      </c>
      <c r="N46" s="27">
        <f t="shared" si="14"/>
        <v>0.004035592603618802</v>
      </c>
      <c r="O46" s="4">
        <f t="shared" si="14"/>
        <v>0.004853199325370874</v>
      </c>
      <c r="P46" s="21">
        <f t="shared" si="14"/>
        <v>0.003298930204062397</v>
      </c>
    </row>
    <row r="47" spans="1:16" ht="11.25">
      <c r="A47" s="14" t="s">
        <v>40</v>
      </c>
      <c r="C47" s="25"/>
      <c r="D47" s="25"/>
      <c r="E47" s="23"/>
      <c r="F47" s="24"/>
      <c r="G47" s="25"/>
      <c r="H47" s="25"/>
      <c r="I47" s="25"/>
      <c r="J47" s="25"/>
      <c r="K47" s="26"/>
      <c r="L47" s="23"/>
      <c r="M47" s="23"/>
      <c r="N47" s="23"/>
      <c r="O47" s="5"/>
      <c r="P47" s="18"/>
    </row>
    <row r="48" spans="1:16" ht="11.25">
      <c r="A48" s="3" t="s">
        <v>41</v>
      </c>
      <c r="C48" s="23">
        <f aca="true" t="shared" si="15" ref="C48:P48">C25/(C12+C15)</f>
        <v>0.286873971789962</v>
      </c>
      <c r="D48" s="23">
        <f t="shared" si="15"/>
        <v>0.26863595012575586</v>
      </c>
      <c r="E48" s="23">
        <f t="shared" si="15"/>
        <v>0.2604824736771958</v>
      </c>
      <c r="F48" s="24">
        <f t="shared" si="15"/>
        <v>0.26156268994861026</v>
      </c>
      <c r="G48" s="25">
        <f t="shared" si="15"/>
        <v>0.26324944284394197</v>
      </c>
      <c r="H48" s="25">
        <f t="shared" si="15"/>
        <v>0.2575462382235982</v>
      </c>
      <c r="I48" s="25">
        <f t="shared" si="15"/>
        <v>0.24470729856331616</v>
      </c>
      <c r="J48" s="25">
        <f t="shared" si="15"/>
        <v>0.24192017714978648</v>
      </c>
      <c r="K48" s="26">
        <f t="shared" si="15"/>
        <v>0.2497983328851842</v>
      </c>
      <c r="L48" s="23">
        <f t="shared" si="15"/>
        <v>0.2555697459912019</v>
      </c>
      <c r="M48" s="23">
        <f t="shared" si="15"/>
        <v>0.2579300074460164</v>
      </c>
      <c r="N48" s="23">
        <f t="shared" si="15"/>
        <v>0.2712747032377009</v>
      </c>
      <c r="O48" s="5">
        <f t="shared" si="15"/>
        <v>0.2842034127386383</v>
      </c>
      <c r="P48" s="18">
        <f t="shared" si="15"/>
        <v>0.3576905311778291</v>
      </c>
    </row>
    <row r="49" spans="1:16" ht="11.25">
      <c r="A49" s="4" t="s">
        <v>42</v>
      </c>
      <c r="B49" s="4"/>
      <c r="C49" s="27">
        <f aca="true" t="shared" si="16" ref="C49:P49">C25/C12</f>
        <v>0.30031903780456815</v>
      </c>
      <c r="D49" s="27">
        <f t="shared" si="16"/>
        <v>0.27801622684351895</v>
      </c>
      <c r="E49" s="27">
        <f t="shared" si="16"/>
        <v>0.26954267115352787</v>
      </c>
      <c r="F49" s="28">
        <f t="shared" si="16"/>
        <v>0.27100449431769386</v>
      </c>
      <c r="G49" s="27">
        <f t="shared" si="16"/>
        <v>0.2729834845837326</v>
      </c>
      <c r="H49" s="27">
        <f t="shared" si="16"/>
        <v>0.263423689023558</v>
      </c>
      <c r="I49" s="27">
        <f t="shared" si="16"/>
        <v>0.2501672061852912</v>
      </c>
      <c r="J49" s="27">
        <f t="shared" si="16"/>
        <v>0.24737182597444607</v>
      </c>
      <c r="K49" s="29">
        <f t="shared" si="16"/>
        <v>0.25545839520431174</v>
      </c>
      <c r="L49" s="27">
        <f t="shared" si="16"/>
        <v>0.2617047865384057</v>
      </c>
      <c r="M49" s="27">
        <f t="shared" si="16"/>
        <v>0.2632058841407817</v>
      </c>
      <c r="N49" s="27">
        <f t="shared" si="16"/>
        <v>0.27743045218484336</v>
      </c>
      <c r="O49" s="4">
        <f t="shared" si="16"/>
        <v>0.2895053867070526</v>
      </c>
      <c r="P49" s="21">
        <f t="shared" si="16"/>
        <v>0.3649559357179886</v>
      </c>
    </row>
    <row r="50" spans="1:16" ht="11.25">
      <c r="A50" s="14" t="s">
        <v>43</v>
      </c>
      <c r="C50" s="25"/>
      <c r="D50" s="30"/>
      <c r="E50" s="23"/>
      <c r="F50" s="24"/>
      <c r="G50" s="25"/>
      <c r="H50" s="25"/>
      <c r="I50" s="25"/>
      <c r="J50" s="25"/>
      <c r="K50" s="26"/>
      <c r="L50" s="23"/>
      <c r="M50" s="23"/>
      <c r="N50" s="23"/>
      <c r="O50" s="5"/>
      <c r="P50" s="18"/>
    </row>
    <row r="51" spans="1:16" ht="11.25">
      <c r="A51" s="3" t="s">
        <v>44</v>
      </c>
      <c r="C51" s="23">
        <f aca="true" t="shared" si="17" ref="C51:P51">C11/C16</f>
        <v>0.3475008668945361</v>
      </c>
      <c r="D51" s="23">
        <f t="shared" si="17"/>
        <v>0.27152831652443754</v>
      </c>
      <c r="E51" s="23">
        <f t="shared" si="17"/>
        <v>0.23792323811624572</v>
      </c>
      <c r="F51" s="24">
        <f t="shared" si="17"/>
        <v>0.34299710086973906</v>
      </c>
      <c r="G51" s="25">
        <f t="shared" si="17"/>
        <v>0.32305329674479494</v>
      </c>
      <c r="H51" s="25">
        <f t="shared" si="17"/>
        <v>0.27974707285052114</v>
      </c>
      <c r="I51" s="25">
        <f t="shared" si="17"/>
        <v>0.24722123116612235</v>
      </c>
      <c r="J51" s="25">
        <f t="shared" si="17"/>
        <v>0.21021741644500982</v>
      </c>
      <c r="K51" s="26">
        <f t="shared" si="17"/>
        <v>0.21867048811160178</v>
      </c>
      <c r="L51" s="23">
        <f t="shared" si="17"/>
        <v>0.20826312176246645</v>
      </c>
      <c r="M51" s="23">
        <f t="shared" si="17"/>
        <v>0.2895719188391836</v>
      </c>
      <c r="N51" s="23">
        <f t="shared" si="17"/>
        <v>0.24622487589821918</v>
      </c>
      <c r="O51" s="5">
        <f t="shared" si="17"/>
        <v>0.24306932545175652</v>
      </c>
      <c r="P51" s="18">
        <f t="shared" si="17"/>
        <v>0.2593870509437792</v>
      </c>
    </row>
    <row r="52" spans="1:16" ht="11.25">
      <c r="A52" s="3" t="s">
        <v>45</v>
      </c>
      <c r="C52" s="23">
        <f aca="true" t="shared" si="18" ref="C52:P52">C11/C10</f>
        <v>0.25993997109719497</v>
      </c>
      <c r="D52" s="23">
        <f t="shared" si="18"/>
        <v>0.20285394515948518</v>
      </c>
      <c r="E52" s="23">
        <f t="shared" si="18"/>
        <v>0.17725237254015858</v>
      </c>
      <c r="F52" s="24">
        <f t="shared" si="18"/>
        <v>0.2622737783553424</v>
      </c>
      <c r="G52" s="25">
        <f t="shared" si="18"/>
        <v>0.2475213147640909</v>
      </c>
      <c r="H52" s="25">
        <f t="shared" si="18"/>
        <v>0.21004667256779594</v>
      </c>
      <c r="I52" s="25">
        <f t="shared" si="18"/>
        <v>0.1842842822364518</v>
      </c>
      <c r="J52" s="25">
        <f t="shared" si="18"/>
        <v>0.15551610557385465</v>
      </c>
      <c r="K52" s="26">
        <f t="shared" si="18"/>
        <v>0.16166136948390306</v>
      </c>
      <c r="L52" s="23">
        <f t="shared" si="18"/>
        <v>0.15279653838228896</v>
      </c>
      <c r="M52" s="23">
        <f t="shared" si="18"/>
        <v>0.21454221032675366</v>
      </c>
      <c r="N52" s="23">
        <f t="shared" si="18"/>
        <v>0.17844025157232704</v>
      </c>
      <c r="O52" s="5">
        <f t="shared" si="18"/>
        <v>0.17237994162907933</v>
      </c>
      <c r="P52" s="18">
        <f t="shared" si="18"/>
        <v>0.17368850231041044</v>
      </c>
    </row>
    <row r="53" spans="1:16" ht="11.25">
      <c r="A53" s="4" t="s">
        <v>46</v>
      </c>
      <c r="B53" s="4"/>
      <c r="C53" s="27">
        <f aca="true" t="shared" si="19" ref="C53:P53">(C11+C15)/C16</f>
        <v>0.3886164363204042</v>
      </c>
      <c r="D53" s="27">
        <f t="shared" si="19"/>
        <v>0.30526203151333564</v>
      </c>
      <c r="E53" s="27">
        <f t="shared" si="19"/>
        <v>0.27269218043454285</v>
      </c>
      <c r="F53" s="28">
        <f t="shared" si="19"/>
        <v>0.37451264620613817</v>
      </c>
      <c r="G53" s="27">
        <f t="shared" si="19"/>
        <v>0.35608368369376403</v>
      </c>
      <c r="H53" s="27">
        <f t="shared" si="19"/>
        <v>0.3021461297323366</v>
      </c>
      <c r="I53" s="27">
        <f t="shared" si="19"/>
        <v>0.2701100529681368</v>
      </c>
      <c r="J53" s="27">
        <f t="shared" si="19"/>
        <v>0.2343876488955707</v>
      </c>
      <c r="K53" s="29">
        <f t="shared" si="19"/>
        <v>0.24276898780452139</v>
      </c>
      <c r="L53" s="27">
        <f t="shared" si="19"/>
        <v>0.23403856955626287</v>
      </c>
      <c r="M53" s="27">
        <f t="shared" si="19"/>
        <v>0.3098320187849961</v>
      </c>
      <c r="N53" s="27">
        <f t="shared" si="19"/>
        <v>0.2700385323011768</v>
      </c>
      <c r="O53" s="4">
        <f t="shared" si="19"/>
        <v>0.26334692655916797</v>
      </c>
      <c r="P53" s="21">
        <f t="shared" si="19"/>
        <v>0.28125634260198906</v>
      </c>
    </row>
    <row r="54" spans="1:16" ht="11.25">
      <c r="A54" s="14" t="s">
        <v>47</v>
      </c>
      <c r="C54" s="3"/>
      <c r="D54" s="31"/>
      <c r="F54" s="18"/>
      <c r="K54" s="19"/>
      <c r="L54" s="5"/>
      <c r="M54" s="5"/>
      <c r="N54" s="5"/>
      <c r="O54" s="5"/>
      <c r="P54" s="18"/>
    </row>
    <row r="55" spans="1:16" ht="11.25">
      <c r="A55" s="3" t="s">
        <v>48</v>
      </c>
      <c r="C55" s="23">
        <f>(C40)/C28</f>
        <v>0.024095406982253327</v>
      </c>
      <c r="D55" s="23">
        <f>((D40)/0.75)/D28</f>
        <v>0.028325962347848163</v>
      </c>
      <c r="E55" s="23">
        <f>((E40)/0.5)/E28</f>
        <v>0.026780054933446016</v>
      </c>
      <c r="F55" s="24">
        <f>((F40)/0.25)/F28</f>
        <v>0.024498165335635657</v>
      </c>
      <c r="G55" s="23">
        <f>(G40)/G28</f>
        <v>0.025356833910034602</v>
      </c>
      <c r="H55" s="25">
        <f>((H40)/0.75)/H28</f>
        <v>0.03319395539906104</v>
      </c>
      <c r="I55" s="25">
        <f>((I40)/0.5)/I28</f>
        <v>0.03527051874965175</v>
      </c>
      <c r="J55" s="25">
        <f>((J40)/0.25)/J28</f>
        <v>0.05368113752886668</v>
      </c>
      <c r="K55" s="26">
        <f>(K40)/K28</f>
        <v>0.03383993411694243</v>
      </c>
      <c r="L55" s="23">
        <f>((L40)/0.75)/L28</f>
        <v>0.03583455111506449</v>
      </c>
      <c r="M55" s="23">
        <f>((M40)/0.5)/M28</f>
        <v>0.033923553509158</v>
      </c>
      <c r="N55" s="23">
        <f>((N40)/0.25)/N28</f>
        <v>0.033727309547479656</v>
      </c>
      <c r="O55" s="5">
        <f>O40/O28</f>
        <v>0.02622694897063128</v>
      </c>
      <c r="P55" s="18">
        <f>P40/P28</f>
        <v>0.026294891026206652</v>
      </c>
    </row>
    <row r="56" spans="1:16" ht="11.25">
      <c r="A56" s="3" t="s">
        <v>49</v>
      </c>
      <c r="C56" s="23">
        <f>(C40)/C27</f>
        <v>0.016821652680123988</v>
      </c>
      <c r="D56" s="23">
        <f>((D40)/0.75)/D27</f>
        <v>0.02125441129290985</v>
      </c>
      <c r="E56" s="23">
        <f>((E40)/0.5)/E27</f>
        <v>0.020786568678699918</v>
      </c>
      <c r="F56" s="24">
        <f>((F40)/0.25)/F27</f>
        <v>0.018328438348422</v>
      </c>
      <c r="G56" s="23">
        <f>(G40)/G27</f>
        <v>0.01912470818508966</v>
      </c>
      <c r="H56" s="25">
        <f>((H40)/0.75)/H27</f>
        <v>0.025842283544104998</v>
      </c>
      <c r="I56" s="25">
        <f>((I40)/0.5)/I27</f>
        <v>0.027017798454906313</v>
      </c>
      <c r="J56" s="25">
        <f>((J40)/0.25)/J27</f>
        <v>0.042726347914547304</v>
      </c>
      <c r="K56" s="26">
        <f>(K40)/K27</f>
        <v>0.02692367257954992</v>
      </c>
      <c r="L56" s="23">
        <f>((L40)/0.75)/L27</f>
        <v>0.02809604463485105</v>
      </c>
      <c r="M56" s="23">
        <f>((M40)/0.5)/M27</f>
        <v>0.026189916098172977</v>
      </c>
      <c r="N56" s="23">
        <f>((N40)/0.25)/N27</f>
        <v>0.02560017886587854</v>
      </c>
      <c r="O56" s="5">
        <f>O40/O27</f>
        <v>0.020023241262179314</v>
      </c>
      <c r="P56" s="18">
        <f>P40/P27</f>
        <v>0.01817849081925212</v>
      </c>
    </row>
    <row r="57" spans="1:16" ht="11.25">
      <c r="A57" s="3" t="s">
        <v>50</v>
      </c>
      <c r="C57" s="23">
        <f>(C40)/C31</f>
        <v>0.08758549426757861</v>
      </c>
      <c r="D57" s="23">
        <f>((D40)/0.75)/D31</f>
        <v>0.10766886744540376</v>
      </c>
      <c r="E57" s="23">
        <f>((E40)/0.5)/E31</f>
        <v>0.10605030591434399</v>
      </c>
      <c r="F57" s="24">
        <f>((F40)/0.25)/F31</f>
        <v>0.09740399055996567</v>
      </c>
      <c r="G57" s="23">
        <f>(G40)/G31</f>
        <v>0.09886172006745363</v>
      </c>
      <c r="H57" s="25">
        <f>((H40)/0.75)/H31</f>
        <v>0.12936656839095864</v>
      </c>
      <c r="I57" s="25">
        <f>((I40)/0.5)/I31</f>
        <v>0.14058075620454166</v>
      </c>
      <c r="J57" s="25">
        <f>((J40)/0.25)/J31</f>
        <v>0.21043042587109997</v>
      </c>
      <c r="K57" s="26">
        <f>(K40)/K31</f>
        <v>0.1276764024631377</v>
      </c>
      <c r="L57" s="23">
        <f>((L40)/0.75)/L31</f>
        <v>0.13078260869565217</v>
      </c>
      <c r="M57" s="23">
        <f>((M40)/0.5)/M31</f>
        <v>0.12027367662945625</v>
      </c>
      <c r="N57" s="23">
        <f>((N40)/0.25)/N31</f>
        <v>0.1121999020088192</v>
      </c>
      <c r="O57" s="5">
        <f>O40/O31</f>
        <v>0.08319405756731663</v>
      </c>
      <c r="P57" s="18">
        <f>P40/P31</f>
        <v>0.07599455967358042</v>
      </c>
    </row>
    <row r="58" spans="1:16" ht="11.25">
      <c r="A58" s="3" t="s">
        <v>51</v>
      </c>
      <c r="C58" s="23">
        <f aca="true" t="shared" si="20" ref="C58:P58">(C33)/C28</f>
        <v>0.11427720547425987</v>
      </c>
      <c r="D58" s="23">
        <f t="shared" si="20"/>
        <v>0.08623384952500568</v>
      </c>
      <c r="E58" s="23">
        <f t="shared" si="20"/>
        <v>0.056121909993661526</v>
      </c>
      <c r="F58" s="24">
        <f t="shared" si="20"/>
        <v>0.028545219080509387</v>
      </c>
      <c r="G58" s="23">
        <f t="shared" si="20"/>
        <v>0.13083910034602075</v>
      </c>
      <c r="H58" s="23">
        <f t="shared" si="20"/>
        <v>0.1014799735915493</v>
      </c>
      <c r="I58" s="23">
        <f t="shared" si="20"/>
        <v>0.0689251685518471</v>
      </c>
      <c r="J58" s="24">
        <f t="shared" si="20"/>
        <v>0.0356131356116832</v>
      </c>
      <c r="K58" s="23">
        <f t="shared" si="20"/>
        <v>0.13640787602006438</v>
      </c>
      <c r="L58" s="23">
        <f t="shared" si="20"/>
        <v>0.1051528051337442</v>
      </c>
      <c r="M58" s="23">
        <f t="shared" si="20"/>
        <v>0.07160510546094728</v>
      </c>
      <c r="N58" s="23">
        <f t="shared" si="20"/>
        <v>0.03751979086122464</v>
      </c>
      <c r="O58" s="5">
        <f t="shared" si="20"/>
        <v>0.13437408527661235</v>
      </c>
      <c r="P58" s="18">
        <f t="shared" si="20"/>
        <v>0.15182799494102767</v>
      </c>
    </row>
    <row r="59" spans="1:16" ht="11.25">
      <c r="A59" s="3" t="s">
        <v>52</v>
      </c>
      <c r="C59" s="23">
        <f aca="true" t="shared" si="21" ref="C59:P59">(C34)/C28</f>
        <v>0.06110486916735478</v>
      </c>
      <c r="D59" s="23">
        <f t="shared" si="21"/>
        <v>0.04652405702604118</v>
      </c>
      <c r="E59" s="23">
        <f t="shared" si="21"/>
        <v>0.030583139657722375</v>
      </c>
      <c r="F59" s="24">
        <f t="shared" si="21"/>
        <v>0.015567666738614289</v>
      </c>
      <c r="G59" s="23">
        <f t="shared" si="21"/>
        <v>0.07463775951557093</v>
      </c>
      <c r="H59" s="23">
        <f t="shared" si="21"/>
        <v>0.05812610035211268</v>
      </c>
      <c r="I59" s="23">
        <f t="shared" si="21"/>
        <v>0.039533069593803975</v>
      </c>
      <c r="J59" s="24">
        <f t="shared" si="21"/>
        <v>0.020159474807918548</v>
      </c>
      <c r="K59" s="23">
        <f t="shared" si="21"/>
        <v>0.07465748296773228</v>
      </c>
      <c r="L59" s="23">
        <f t="shared" si="21"/>
        <v>0.05819937734290616</v>
      </c>
      <c r="M59" s="23">
        <f t="shared" si="21"/>
        <v>0.03944205572671564</v>
      </c>
      <c r="N59" s="23">
        <f t="shared" si="21"/>
        <v>0.020913877535991752</v>
      </c>
      <c r="O59" s="5">
        <f t="shared" si="21"/>
        <v>0.07298273002244121</v>
      </c>
      <c r="P59" s="18">
        <f t="shared" si="21"/>
        <v>0.07182564193064502</v>
      </c>
    </row>
    <row r="60" spans="1:16" ht="11.25">
      <c r="A60" s="3" t="s">
        <v>53</v>
      </c>
      <c r="C60" s="23">
        <f aca="true" t="shared" si="22" ref="C60:P60">(C35)/C28</f>
        <v>0.05317233630690509</v>
      </c>
      <c r="D60" s="23">
        <f t="shared" si="22"/>
        <v>0.0397097924989645</v>
      </c>
      <c r="E60" s="23">
        <f t="shared" si="22"/>
        <v>0.02553877033593915</v>
      </c>
      <c r="F60" s="24">
        <f t="shared" si="22"/>
        <v>0.0129775523418951</v>
      </c>
      <c r="G60" s="23">
        <f t="shared" si="22"/>
        <v>0.05620134083044983</v>
      </c>
      <c r="H60" s="23">
        <f t="shared" si="22"/>
        <v>0.04335387323943662</v>
      </c>
      <c r="I60" s="23">
        <f t="shared" si="22"/>
        <v>0.029392098958043126</v>
      </c>
      <c r="J60" s="24">
        <f t="shared" si="22"/>
        <v>0.015453660803764651</v>
      </c>
      <c r="K60" s="23">
        <f t="shared" si="22"/>
        <v>0.06175039305233211</v>
      </c>
      <c r="L60" s="23">
        <f t="shared" si="22"/>
        <v>0.04695342779083805</v>
      </c>
      <c r="M60" s="23">
        <f t="shared" si="22"/>
        <v>0.03216304973423164</v>
      </c>
      <c r="N60" s="23">
        <f t="shared" si="22"/>
        <v>0.01660591332523289</v>
      </c>
      <c r="O60" s="5">
        <f t="shared" si="22"/>
        <v>0.06139135525417114</v>
      </c>
      <c r="P60" s="18">
        <f t="shared" si="22"/>
        <v>0.08000235301038267</v>
      </c>
    </row>
    <row r="61" spans="1:16" ht="11.25">
      <c r="A61" s="3" t="s">
        <v>54</v>
      </c>
      <c r="C61" s="23">
        <f>(C38)/(C37)</f>
        <v>0.6227810650887574</v>
      </c>
      <c r="D61" s="23">
        <f>(D38/0.75)/(D37/0.75)</f>
        <v>0.5918367346938775</v>
      </c>
      <c r="E61" s="23">
        <f>(E38/0.5)/(E37/0.5)</f>
        <v>0.6028968014484007</v>
      </c>
      <c r="F61" s="24">
        <f>(F38/0.25)/(F37/0.25)</f>
        <v>0.6271604938271605</v>
      </c>
      <c r="G61" s="23">
        <f>(G38)/(G37)</f>
        <v>0.5870033877425316</v>
      </c>
      <c r="H61" s="23">
        <f>(H38/0.75)/(H37/0.75)</f>
        <v>0.5600495253817581</v>
      </c>
      <c r="I61" s="23">
        <f>(I38/0.5)/(I37/0.5)</f>
        <v>0.5538270068450529</v>
      </c>
      <c r="J61" s="24">
        <f>(J38/0.25)/(J37/0.25)</f>
        <v>0.4326923076923077</v>
      </c>
      <c r="K61" s="23">
        <f>(K38)/(K37)</f>
        <v>0.5477019498607242</v>
      </c>
      <c r="L61" s="23">
        <f>((L38)/0.75)/((L37)/0.75)</f>
        <v>0.5542635658914729</v>
      </c>
      <c r="M61" s="23">
        <f>((M38)/0.5)/((M37)/0.5)</f>
        <v>0.5993975903614458</v>
      </c>
      <c r="N61" s="23">
        <f>(N38/0.25)/(N37/0.25)</f>
        <v>0.6039603960396039</v>
      </c>
      <c r="O61" s="5">
        <f>O38/O37</f>
        <v>0.6384928716904277</v>
      </c>
      <c r="P61" s="18">
        <f>P38/P37</f>
        <v>0.68342776203966</v>
      </c>
    </row>
    <row r="62" spans="1:16" ht="11.25">
      <c r="A62" s="4" t="s">
        <v>55</v>
      </c>
      <c r="B62" s="4"/>
      <c r="C62" s="27">
        <f aca="true" t="shared" si="23" ref="C62:P62">(C36)/C28</f>
        <v>0.03833606324367496</v>
      </c>
      <c r="D62" s="27">
        <f t="shared" si="23"/>
        <v>0.02706999986638697</v>
      </c>
      <c r="E62" s="27">
        <f t="shared" si="23"/>
        <v>0.018223114303824214</v>
      </c>
      <c r="F62" s="28">
        <f t="shared" si="23"/>
        <v>0.008876537880423052</v>
      </c>
      <c r="G62" s="27">
        <f t="shared" si="23"/>
        <v>0.03157439446366782</v>
      </c>
      <c r="H62" s="27">
        <f t="shared" si="23"/>
        <v>0.023299955985915492</v>
      </c>
      <c r="I62" s="27">
        <f t="shared" si="23"/>
        <v>0.015378614810274699</v>
      </c>
      <c r="J62" s="28">
        <f t="shared" si="23"/>
        <v>0.008714470378062774</v>
      </c>
      <c r="K62" s="27">
        <f t="shared" si="23"/>
        <v>0.024256943924533952</v>
      </c>
      <c r="L62" s="27">
        <f t="shared" si="23"/>
        <v>0.018616176377152297</v>
      </c>
      <c r="M62" s="27">
        <f t="shared" si="23"/>
        <v>0.012797508210041643</v>
      </c>
      <c r="N62" s="27">
        <f t="shared" si="23"/>
        <v>0.005707132074082256</v>
      </c>
      <c r="O62" s="4">
        <f t="shared" si="23"/>
        <v>0.015260025368328618</v>
      </c>
      <c r="P62" s="21">
        <f t="shared" si="23"/>
        <v>0.0030589134974558074</v>
      </c>
    </row>
    <row r="63" spans="1:16" ht="11.25">
      <c r="A63" s="14" t="s">
        <v>56</v>
      </c>
      <c r="F63" s="18"/>
      <c r="K63" s="19"/>
      <c r="L63" s="5"/>
      <c r="M63" s="5"/>
      <c r="N63" s="5"/>
      <c r="O63" s="5"/>
      <c r="P63" s="18"/>
    </row>
    <row r="64" spans="1:16" ht="11.25">
      <c r="A64" s="3" t="s">
        <v>57</v>
      </c>
      <c r="C64" s="5">
        <v>58</v>
      </c>
      <c r="D64" s="20">
        <v>56</v>
      </c>
      <c r="E64" s="20">
        <v>52</v>
      </c>
      <c r="F64" s="18">
        <v>70</v>
      </c>
      <c r="G64" s="3">
        <v>66</v>
      </c>
      <c r="H64" s="3">
        <v>65</v>
      </c>
      <c r="I64" s="3">
        <v>78</v>
      </c>
      <c r="J64" s="3">
        <v>62</v>
      </c>
      <c r="K64" s="19">
        <v>60</v>
      </c>
      <c r="L64" s="5">
        <v>62</v>
      </c>
      <c r="M64" s="5">
        <v>60</v>
      </c>
      <c r="N64" s="5">
        <v>61</v>
      </c>
      <c r="O64" s="5">
        <v>54</v>
      </c>
      <c r="P64" s="18">
        <v>41</v>
      </c>
    </row>
    <row r="65" spans="1:16" ht="11.25">
      <c r="A65" s="3" t="s">
        <v>58</v>
      </c>
      <c r="C65" s="5">
        <v>4</v>
      </c>
      <c r="D65" s="20">
        <v>4</v>
      </c>
      <c r="E65" s="5">
        <v>4</v>
      </c>
      <c r="F65" s="18">
        <v>4</v>
      </c>
      <c r="G65" s="3">
        <v>4</v>
      </c>
      <c r="H65" s="3">
        <v>4</v>
      </c>
      <c r="I65" s="3">
        <v>4</v>
      </c>
      <c r="J65" s="3">
        <v>4</v>
      </c>
      <c r="K65" s="19">
        <v>4</v>
      </c>
      <c r="L65" s="5">
        <v>4</v>
      </c>
      <c r="M65" s="5">
        <v>4</v>
      </c>
      <c r="N65" s="5">
        <v>4</v>
      </c>
      <c r="O65" s="5">
        <v>4</v>
      </c>
      <c r="P65" s="18">
        <v>3</v>
      </c>
    </row>
    <row r="66" spans="1:16" ht="11.25">
      <c r="A66" s="3" t="s">
        <v>59</v>
      </c>
      <c r="C66" s="5">
        <f aca="true" t="shared" si="24" ref="C66:P66">C12/C64</f>
        <v>610.6724137931035</v>
      </c>
      <c r="D66" s="5">
        <f t="shared" si="24"/>
        <v>644.875</v>
      </c>
      <c r="E66" s="5">
        <f t="shared" si="24"/>
        <v>697.1923076923077</v>
      </c>
      <c r="F66" s="18">
        <f t="shared" si="24"/>
        <v>499.04285714285714</v>
      </c>
      <c r="G66" s="3">
        <f t="shared" si="24"/>
        <v>537.6060606060606</v>
      </c>
      <c r="H66" s="3">
        <f t="shared" si="24"/>
        <v>563.5846153846154</v>
      </c>
      <c r="I66" s="3">
        <f t="shared" si="24"/>
        <v>479.21794871794873</v>
      </c>
      <c r="J66" s="3">
        <f t="shared" si="24"/>
        <v>598.3548387096774</v>
      </c>
      <c r="K66" s="19">
        <f t="shared" si="24"/>
        <v>606.1</v>
      </c>
      <c r="L66" s="5">
        <f t="shared" si="24"/>
        <v>554.983870967742</v>
      </c>
      <c r="M66" s="5">
        <f t="shared" si="24"/>
        <v>548.3666666666667</v>
      </c>
      <c r="N66" s="5">
        <f t="shared" si="24"/>
        <v>495.59016393442624</v>
      </c>
      <c r="O66" s="5">
        <f t="shared" si="24"/>
        <v>538.0185185185185</v>
      </c>
      <c r="P66" s="18">
        <f t="shared" si="24"/>
        <v>517.5365853658536</v>
      </c>
    </row>
    <row r="67" spans="1:16" ht="11.25">
      <c r="A67" s="3" t="s">
        <v>60</v>
      </c>
      <c r="C67" s="5">
        <f aca="true" t="shared" si="25" ref="C67:P67">C16/C64</f>
        <v>696.1034482758621</v>
      </c>
      <c r="D67" s="5">
        <f t="shared" si="25"/>
        <v>667.5178571428571</v>
      </c>
      <c r="E67" s="5">
        <f t="shared" si="25"/>
        <v>697.4615384615385</v>
      </c>
      <c r="F67" s="18">
        <f t="shared" si="25"/>
        <v>571.6</v>
      </c>
      <c r="G67" s="3">
        <f t="shared" si="25"/>
        <v>601.8333333333334</v>
      </c>
      <c r="H67" s="3">
        <f t="shared" si="25"/>
        <v>574.2</v>
      </c>
      <c r="I67" s="3">
        <f t="shared" si="25"/>
        <v>467.14102564102564</v>
      </c>
      <c r="J67" s="3">
        <f t="shared" si="25"/>
        <v>557.8709677419355</v>
      </c>
      <c r="K67" s="19">
        <f t="shared" si="25"/>
        <v>569.8833333333333</v>
      </c>
      <c r="L67" s="5">
        <f t="shared" si="25"/>
        <v>516.8709677419355</v>
      </c>
      <c r="M67" s="5">
        <f t="shared" si="25"/>
        <v>553.6333333333333</v>
      </c>
      <c r="N67" s="5">
        <f t="shared" si="25"/>
        <v>472.24590163934425</v>
      </c>
      <c r="O67" s="5">
        <f t="shared" si="25"/>
        <v>494.98148148148147</v>
      </c>
      <c r="P67" s="18">
        <f t="shared" si="25"/>
        <v>480.6829268292683</v>
      </c>
    </row>
    <row r="68" spans="1:16" ht="11.25">
      <c r="A68" s="4" t="s">
        <v>61</v>
      </c>
      <c r="B68" s="4"/>
      <c r="C68" s="4">
        <f aca="true" t="shared" si="26" ref="C68:P68">C40/C64</f>
        <v>15.344827586206897</v>
      </c>
      <c r="D68" s="4">
        <f t="shared" si="26"/>
        <v>14.196428571428571</v>
      </c>
      <c r="E68" s="4">
        <f t="shared" si="26"/>
        <v>9.75</v>
      </c>
      <c r="F68" s="21">
        <f t="shared" si="26"/>
        <v>3.242857142857143</v>
      </c>
      <c r="G68" s="4">
        <f t="shared" si="26"/>
        <v>14.212121212121213</v>
      </c>
      <c r="H68" s="32">
        <f t="shared" si="26"/>
        <v>13.923076923076923</v>
      </c>
      <c r="I68" s="4">
        <f t="shared" si="26"/>
        <v>8.115384615384615</v>
      </c>
      <c r="J68" s="4">
        <f t="shared" si="26"/>
        <v>7.451612903225806</v>
      </c>
      <c r="K68" s="22">
        <f t="shared" si="26"/>
        <v>18.833333333333332</v>
      </c>
      <c r="L68" s="4">
        <f t="shared" si="26"/>
        <v>13.64516129032258</v>
      </c>
      <c r="M68" s="4">
        <f t="shared" si="26"/>
        <v>8.35</v>
      </c>
      <c r="N68" s="4">
        <f t="shared" si="26"/>
        <v>3.7540983606557377</v>
      </c>
      <c r="O68" s="4">
        <f t="shared" si="26"/>
        <v>12.444444444444445</v>
      </c>
      <c r="P68" s="21">
        <f t="shared" si="26"/>
        <v>10.902439024390244</v>
      </c>
    </row>
    <row r="69" spans="1:16" ht="11.25">
      <c r="A69" s="14" t="s">
        <v>62</v>
      </c>
      <c r="F69" s="18"/>
      <c r="K69" s="19"/>
      <c r="L69" s="5"/>
      <c r="M69" s="5"/>
      <c r="N69" s="5"/>
      <c r="O69" s="5"/>
      <c r="P69" s="18"/>
    </row>
    <row r="70" spans="1:16" ht="11.25">
      <c r="A70" s="3" t="s">
        <v>63</v>
      </c>
      <c r="C70" s="25">
        <f aca="true" t="shared" si="27" ref="C70:K70">(C10-G10)/G10</f>
        <v>0.041124956598896645</v>
      </c>
      <c r="D70" s="23">
        <f t="shared" si="27"/>
        <v>0.006598535447010541</v>
      </c>
      <c r="E70" s="23">
        <f t="shared" si="27"/>
        <v>-0.004071111474806162</v>
      </c>
      <c r="F70" s="24">
        <f t="shared" si="27"/>
        <v>0.1191983573597981</v>
      </c>
      <c r="G70" s="25">
        <f t="shared" si="27"/>
        <v>0.12088387278112905</v>
      </c>
      <c r="H70" s="25">
        <f t="shared" si="27"/>
        <v>0.13802971679754572</v>
      </c>
      <c r="I70" s="25">
        <f t="shared" si="27"/>
        <v>0.09024199843871974</v>
      </c>
      <c r="J70" s="25">
        <f t="shared" si="27"/>
        <v>0.1762012578616352</v>
      </c>
      <c r="K70" s="26">
        <f t="shared" si="27"/>
        <v>0.22714247811090474</v>
      </c>
      <c r="L70" s="23">
        <f>(L10-36617)/36617</f>
        <v>0.19286123931507224</v>
      </c>
      <c r="M70" s="23">
        <f>(M10-31685)/31685</f>
        <v>0.4150228814896639</v>
      </c>
      <c r="N70" s="23">
        <f>(N10-31814)/31814</f>
        <v>0.24944992770478405</v>
      </c>
      <c r="O70" s="5">
        <f>(O10-P10)/P10</f>
        <v>0.280578961674368</v>
      </c>
      <c r="P70" s="18">
        <f>(P10-19746)/19746</f>
        <v>0.4905297275397549</v>
      </c>
    </row>
    <row r="71" spans="1:16" ht="11.25">
      <c r="A71" s="3" t="s">
        <v>64</v>
      </c>
      <c r="C71" s="25">
        <f aca="true" t="shared" si="28" ref="C71:I72">(C12-G12)/G12</f>
        <v>-0.001775548165266896</v>
      </c>
      <c r="D71" s="23">
        <f t="shared" si="28"/>
        <v>-0.014194851636502607</v>
      </c>
      <c r="E71" s="23">
        <f t="shared" si="28"/>
        <v>-0.030097113352417132</v>
      </c>
      <c r="F71" s="24">
        <f t="shared" si="28"/>
        <v>-0.05835894118281309</v>
      </c>
      <c r="G71" s="25">
        <f t="shared" si="28"/>
        <v>-0.024308419952703074</v>
      </c>
      <c r="H71" s="25">
        <f t="shared" si="28"/>
        <v>0.06463425266645355</v>
      </c>
      <c r="I71" s="25">
        <f t="shared" si="28"/>
        <v>0.13607075557716855</v>
      </c>
      <c r="J71" s="25">
        <f>J12/N12-1</f>
        <v>0.227150937779101</v>
      </c>
      <c r="K71" s="26">
        <f>K12/O12-1</f>
        <v>0.2517123877052283</v>
      </c>
      <c r="L71" s="23">
        <f>L12/27283-1</f>
        <v>0.2611882857457024</v>
      </c>
      <c r="M71" s="23">
        <f>M12/25063-1</f>
        <v>0.31277181502613405</v>
      </c>
      <c r="N71" s="23">
        <f>N12/22968-1</f>
        <v>0.31622257053291536</v>
      </c>
      <c r="O71" s="5">
        <f>O12/P12-1</f>
        <v>0.36919741740892587</v>
      </c>
      <c r="P71" s="18">
        <f>P12/11931-1</f>
        <v>0.7784762383706312</v>
      </c>
    </row>
    <row r="72" spans="2:16" ht="11.25">
      <c r="B72" s="5" t="s">
        <v>15</v>
      </c>
      <c r="C72" s="25">
        <f t="shared" si="28"/>
        <v>-0.001775548165266896</v>
      </c>
      <c r="D72" s="23">
        <f t="shared" si="28"/>
        <v>-0.014194851636502607</v>
      </c>
      <c r="E72" s="23">
        <f t="shared" si="28"/>
        <v>-0.030097113352417132</v>
      </c>
      <c r="F72" s="24">
        <f t="shared" si="28"/>
        <v>-0.05835894118281309</v>
      </c>
      <c r="G72" s="25">
        <f t="shared" si="28"/>
        <v>-0.024308419952703074</v>
      </c>
      <c r="H72" s="25">
        <f t="shared" si="28"/>
        <v>0.06463425266645355</v>
      </c>
      <c r="I72" s="25">
        <f t="shared" si="28"/>
        <v>0.13607075557716855</v>
      </c>
      <c r="J72" s="25">
        <f>(J13-N13)/N13</f>
        <v>0.22715093777910092</v>
      </c>
      <c r="K72" s="26">
        <f>(K13-O13)/O13</f>
        <v>0.25171238770522836</v>
      </c>
      <c r="L72" s="23">
        <f>(L13-27283)/27283</f>
        <v>0.26118828574570246</v>
      </c>
      <c r="M72" s="23">
        <f>(M13-25063)/25063</f>
        <v>0.31277181502613416</v>
      </c>
      <c r="N72" s="23">
        <f>(N13-22968)/22968</f>
        <v>0.31622257053291536</v>
      </c>
      <c r="O72" s="5">
        <f>(O13-P13)/P13</f>
        <v>0.369197417408926</v>
      </c>
      <c r="P72" s="18">
        <f>(P13-11931)/11931</f>
        <v>0.7784762383706312</v>
      </c>
    </row>
    <row r="73" spans="2:16" ht="11.25">
      <c r="B73" s="5" t="s">
        <v>16</v>
      </c>
      <c r="C73" s="33">
        <v>0</v>
      </c>
      <c r="D73" s="33">
        <v>0</v>
      </c>
      <c r="E73" s="33">
        <v>0</v>
      </c>
      <c r="F73" s="24">
        <v>0</v>
      </c>
      <c r="G73" s="23">
        <v>0</v>
      </c>
      <c r="H73" s="25">
        <v>0</v>
      </c>
      <c r="I73" s="25">
        <v>0</v>
      </c>
      <c r="J73" s="25">
        <v>0</v>
      </c>
      <c r="K73" s="26">
        <v>0</v>
      </c>
      <c r="L73" s="23">
        <v>0</v>
      </c>
      <c r="M73" s="23">
        <v>0</v>
      </c>
      <c r="N73" s="23">
        <v>0</v>
      </c>
      <c r="O73" s="5">
        <v>0</v>
      </c>
      <c r="P73" s="18">
        <v>0</v>
      </c>
    </row>
    <row r="74" spans="1:16" ht="11.25">
      <c r="A74" s="3" t="s">
        <v>65</v>
      </c>
      <c r="C74" s="25">
        <f aca="true" t="shared" si="29" ref="C74:I75">(C16-G16)/G16</f>
        <v>0.016439666675058532</v>
      </c>
      <c r="D74" s="33">
        <f t="shared" si="29"/>
        <v>0.001554001554001554</v>
      </c>
      <c r="E74" s="23">
        <f t="shared" si="29"/>
        <v>-0.004638142547410599</v>
      </c>
      <c r="F74" s="24">
        <f t="shared" si="29"/>
        <v>0.1568173933156008</v>
      </c>
      <c r="G74" s="25">
        <f t="shared" si="29"/>
        <v>0.16167051735735385</v>
      </c>
      <c r="H74" s="25">
        <f t="shared" si="29"/>
        <v>0.16466953753978655</v>
      </c>
      <c r="I74" s="25">
        <f t="shared" si="29"/>
        <v>0.09690529231139744</v>
      </c>
      <c r="J74" s="25">
        <f>J16/N16-1</f>
        <v>0.2006803901829417</v>
      </c>
      <c r="K74" s="26">
        <f>K16/O16-1</f>
        <v>0.2792472595308466</v>
      </c>
      <c r="L74" s="23">
        <f>L16/23091-1</f>
        <v>0.3878134338053787</v>
      </c>
      <c r="M74" s="23">
        <f>M16/21592-1</f>
        <v>0.538440163023342</v>
      </c>
      <c r="N74" s="23">
        <f>N16/21588-1</f>
        <v>0.3343987400407633</v>
      </c>
      <c r="O74" s="5">
        <f>O16/P16-1</f>
        <v>0.3562512685203978</v>
      </c>
      <c r="P74" s="18">
        <f>P16/14208-1</f>
        <v>0.3871058558558558</v>
      </c>
    </row>
    <row r="75" spans="2:16" ht="11.25">
      <c r="B75" s="5" t="s">
        <v>15</v>
      </c>
      <c r="C75" s="25">
        <f t="shared" si="29"/>
        <v>0.04269001317114744</v>
      </c>
      <c r="D75" s="23">
        <f t="shared" si="29"/>
        <v>0.05826232199983014</v>
      </c>
      <c r="E75" s="23">
        <f t="shared" si="29"/>
        <v>0.05316955600081308</v>
      </c>
      <c r="F75" s="24">
        <f t="shared" si="29"/>
        <v>0.19427396587700993</v>
      </c>
      <c r="G75" s="25">
        <f t="shared" si="29"/>
        <v>0.13242476530283975</v>
      </c>
      <c r="H75" s="25">
        <f t="shared" si="29"/>
        <v>0.10225925232478313</v>
      </c>
      <c r="I75" s="25">
        <f t="shared" si="29"/>
        <v>0.08572419446371146</v>
      </c>
      <c r="J75" s="25">
        <f>(J17-N17)/N17</f>
        <v>0.19339363533159995</v>
      </c>
      <c r="K75" s="26">
        <f>(K17-O17)/O17</f>
        <v>0.3553054025129811</v>
      </c>
      <c r="L75" s="23">
        <f>(L17-21591)/21591</f>
        <v>0.484229540086147</v>
      </c>
      <c r="M75" s="23">
        <f>(M17-20092)/20092</f>
        <v>0.578638263985666</v>
      </c>
      <c r="N75" s="23">
        <f>(N17-21588)/21588</f>
        <v>0.26491569390402075</v>
      </c>
      <c r="O75" s="5">
        <f>(O17-P17)/P17</f>
        <v>0.38559973637961337</v>
      </c>
      <c r="P75" s="18">
        <f>(P17-12708)/12708</f>
        <v>0.43279823733081524</v>
      </c>
    </row>
    <row r="76" spans="2:16" ht="11.25">
      <c r="B76" s="5" t="s">
        <v>16</v>
      </c>
      <c r="C76" s="25">
        <f>(C21-G21)/G21</f>
        <v>-1</v>
      </c>
      <c r="D76" s="23">
        <v>0</v>
      </c>
      <c r="E76" s="23">
        <v>0</v>
      </c>
      <c r="F76" s="24">
        <v>0</v>
      </c>
      <c r="G76" s="25">
        <v>0</v>
      </c>
      <c r="H76" s="23">
        <f>(H21-I21)/I21</f>
        <v>0</v>
      </c>
      <c r="I76" s="23">
        <f>(I21-J21)/J21</f>
        <v>0</v>
      </c>
      <c r="J76" s="24">
        <v>0</v>
      </c>
      <c r="K76" s="23">
        <v>0</v>
      </c>
      <c r="L76" s="23">
        <v>0</v>
      </c>
      <c r="M76" s="23">
        <f>(M21-N21)/N21</f>
        <v>0</v>
      </c>
      <c r="N76" s="23">
        <f>(N21-O21)/O21</f>
        <v>0</v>
      </c>
      <c r="O76" s="5">
        <f>(O21-P21)/P21</f>
        <v>0</v>
      </c>
      <c r="P76" s="18">
        <f>(P21-1500)/1500</f>
        <v>0</v>
      </c>
    </row>
    <row r="77" spans="1:16" ht="11.25">
      <c r="A77" s="3" t="s">
        <v>66</v>
      </c>
      <c r="C77" s="25">
        <f aca="true" t="shared" si="30" ref="C77:I77">C25/G25-1</f>
        <v>0.09818294445591569</v>
      </c>
      <c r="D77" s="23">
        <f t="shared" si="30"/>
        <v>0.040414507772020825</v>
      </c>
      <c r="E77" s="23">
        <f t="shared" si="30"/>
        <v>0.04502192278900652</v>
      </c>
      <c r="F77" s="24">
        <f t="shared" si="30"/>
        <v>0.031600740982892006</v>
      </c>
      <c r="G77" s="25">
        <f t="shared" si="30"/>
        <v>0.04262648008611403</v>
      </c>
      <c r="H77" s="25">
        <f t="shared" si="30"/>
        <v>0.07162687395891165</v>
      </c>
      <c r="I77" s="25">
        <f t="shared" si="30"/>
        <v>0.07979214780600463</v>
      </c>
      <c r="J77" s="25">
        <f>(J25-N25)/N25</f>
        <v>0.09419339453916777</v>
      </c>
      <c r="K77" s="26">
        <f>(K25-O25)/O25</f>
        <v>0.10450600404232553</v>
      </c>
      <c r="L77" s="23">
        <f>(L25-8245)/8245</f>
        <v>0.09217707701637357</v>
      </c>
      <c r="M77" s="23">
        <f>(M25-8001)/8001</f>
        <v>0.0823647044119485</v>
      </c>
      <c r="N77" s="23">
        <f>(N25-7941)/7941</f>
        <v>0.056164211056542</v>
      </c>
      <c r="O77" s="5">
        <f>(O25-P25)/P25</f>
        <v>0.08613119834710743</v>
      </c>
      <c r="P77" s="18">
        <f>(P25-4020)/4020</f>
        <v>0.9263681592039801</v>
      </c>
    </row>
    <row r="78" spans="1:16" ht="11.25">
      <c r="A78" s="4" t="s">
        <v>67</v>
      </c>
      <c r="B78" s="4"/>
      <c r="C78" s="27">
        <f aca="true" t="shared" si="31" ref="C78:I78">(C40-G40)/G40</f>
        <v>-0.0511727078891258</v>
      </c>
      <c r="D78" s="27">
        <f t="shared" si="31"/>
        <v>-0.12154696132596685</v>
      </c>
      <c r="E78" s="27">
        <f t="shared" si="31"/>
        <v>-0.1990521327014218</v>
      </c>
      <c r="F78" s="28">
        <f t="shared" si="31"/>
        <v>-0.5086580086580087</v>
      </c>
      <c r="G78" s="27">
        <f t="shared" si="31"/>
        <v>-0.16991150442477876</v>
      </c>
      <c r="H78" s="27">
        <f t="shared" si="31"/>
        <v>0.06973995271867613</v>
      </c>
      <c r="I78" s="27">
        <f t="shared" si="31"/>
        <v>0.2634730538922156</v>
      </c>
      <c r="J78" s="27">
        <f>J40/N40-1</f>
        <v>1.017467248908297</v>
      </c>
      <c r="K78" s="29">
        <f>K40/O40-1</f>
        <v>0.6815476190476191</v>
      </c>
      <c r="L78" s="27">
        <f>L40/463-1</f>
        <v>0.8272138228941686</v>
      </c>
      <c r="M78" s="27">
        <f>M40/220-1</f>
        <v>1.2772727272727273</v>
      </c>
      <c r="N78" s="27">
        <f>N40/166-1</f>
        <v>0.3795180722891567</v>
      </c>
      <c r="O78" s="4">
        <f>(O40-P40)/P40</f>
        <v>0.5033557046979866</v>
      </c>
      <c r="P78" s="21">
        <f>(P40-106)/106</f>
        <v>3.2169811320754715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2017-06-16T16:06:14Z</dcterms:created>
  <dcterms:modified xsi:type="dcterms:W3CDTF">2017-06-16T16:06:17Z</dcterms:modified>
  <cp:category/>
  <cp:version/>
  <cp:contentType/>
  <cp:contentStatus/>
</cp:coreProperties>
</file>