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Nación Arg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<sst xmlns="http://schemas.openxmlformats.org/spreadsheetml/2006/main" count="89" uniqueCount="68">
  <si>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19-8</t>
  </si>
  <si>
    <t>BANCO DE LA NACION ARGENTINA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</si>
  <si>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</si>
  <si>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</si>
  <si>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</si>
  <si>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</si>
  <si>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</si>
  <si>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</si>
  <si>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</si>
  <si>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</si>
  <si>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</si>
  <si>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</si>
  <si>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</si>
  <si>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</si>
  <si>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</si>
  <si>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</si>
  <si>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</si>
  <si>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</si>
  <si>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</si>
  <si>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</si>
  <si>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</si>
  <si>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</si>
  <si>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</si>
  <si>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</si>
  <si>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</si>
  <si>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</si>
  <si>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</si>
  <si>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</si>
  <si>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</si>
  <si>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</si>
  <si>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</si>
  <si>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</si>
  <si>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</si>
  <si>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</si>
  <si>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</si>
  <si>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</si>
  <si>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</si>
  <si>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</si>
  <si>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</si>
  <si>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</si>
  <si>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</si>
  <si>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/Préstamos Totales</t>
  </si>
  <si>
    <t>Patrimonio /Activos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</si>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</sst>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0" xfId="46" applyNumberFormat="1" applyFont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7" xfId="46" applyFont="1" applyBorder="1" applyAlignment="1">
      <alignment/>
    </xf>
    <xf numFmtId="43" fontId="3" fillId="0" borderId="0" xfId="46" applyFont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3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7" xfId="0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16" xfId="46" applyFont="1" applyBorder="1" applyAlignment="1">
      <alignment/>
    </xf>
    <xf numFmtId="3" fontId="3" fillId="0" borderId="0" xfId="0" applyNumberFormat="1" applyFont="1" applyBorder="1" applyAlignment="1">
      <alignment/>
    </xf>
    <xf numFmtId="201" fontId="3" fillId="0" borderId="0" xfId="0" applyNumberFormat="1" applyFont="1" applyBorder="1" applyAlignment="1">
      <alignment/>
    </xf>
    <xf numFmtId="201" fontId="3" fillId="0" borderId="17" xfId="0" applyNumberFormat="1" applyFont="1" applyBorder="1" applyAlignment="1">
      <alignment/>
    </xf>
    <xf numFmtId="201" fontId="3" fillId="0" borderId="16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01" fontId="3" fillId="0" borderId="13" xfId="0" applyNumberFormat="1" applyFont="1" applyBorder="1" applyAlignment="1">
      <alignment/>
    </xf>
    <xf numFmtId="201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204" fontId="3" fillId="0" borderId="17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204" fontId="3" fillId="0" borderId="13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" sqref="B12"/>
    </sheetView>
  </sheetViews>
  <sheetFormatPr defaultColWidth="11.421875" defaultRowHeight="12.75"/>
  <cols>
    <col min="1" max="1" width="3.57421875" style="2" customWidth="1"/>
    <col min="2" max="2" width="27.57421875" style="2" customWidth="1"/>
    <col min="3" max="3" width="8.140625" style="2" customWidth="1"/>
    <col min="4" max="4" width="9.28125" style="2" customWidth="1"/>
    <col min="5" max="6" width="8.7109375" style="2" customWidth="1"/>
    <col min="7" max="7" width="7.8515625" style="2" customWidth="1"/>
    <col min="8" max="8" width="8.140625" style="2" customWidth="1"/>
    <col min="9" max="9" width="8.00390625" style="2" customWidth="1"/>
    <col min="10" max="10" width="7.57421875" style="2" customWidth="1"/>
    <col min="11" max="11" width="7.8515625" style="2" customWidth="1"/>
    <col min="12" max="12" width="7.7109375" style="2" bestFit="1" customWidth="1"/>
    <col min="13" max="13" width="7.7109375" style="2" customWidth="1"/>
    <col min="14" max="14" width="7.57421875" style="2" customWidth="1"/>
    <col min="15" max="15" width="6.28125" style="2" hidden="1" customWidth="1"/>
    <col min="16" max="16" width="6.421875" style="2" hidden="1" customWidth="1"/>
    <col min="17" max="18" width="11.421875" style="2" customWidth="1"/>
    <col min="19" max="16384" width="11.421875" style="1" customWidth="1"/>
  </cols>
  <sheetData>
    <row r="1" spans="2:16" ht="11.25">
      <c r="B1" s="57"/>
      <c r="C1" s="57"/>
      <c r="D1" s="57"/>
      <c r="E1" s="57"/>
      <c r="F1" s="57"/>
      <c r="G1" s="57" t="s">
        <v>0</v>
      </c>
      <c r="H1" s="57"/>
      <c r="I1" s="57"/>
      <c r="J1" s="57"/>
      <c r="K1" s="57"/>
      <c r="L1" s="57"/>
      <c r="M1" s="57"/>
      <c r="N1" s="57"/>
      <c r="O1" s="57"/>
      <c r="P1" s="57"/>
    </row>
    <row r="2" spans="2:16" ht="11.25">
      <c r="B2" s="57"/>
      <c r="C2" s="57"/>
      <c r="D2" s="57"/>
      <c r="E2" s="57"/>
      <c r="F2" s="57"/>
      <c r="G2" s="57" t="s">
        <v>1</v>
      </c>
      <c r="H2" s="57"/>
      <c r="I2" s="57"/>
      <c r="J2" s="57"/>
      <c r="K2" s="57"/>
      <c r="L2" s="57"/>
      <c r="M2" s="57"/>
      <c r="N2" s="57"/>
      <c r="O2" s="57"/>
      <c r="P2" s="57"/>
    </row>
    <row r="3" spans="2:16" ht="11.25">
      <c r="B3" s="57"/>
      <c r="C3" s="57"/>
      <c r="D3" s="57"/>
      <c r="E3" s="57"/>
      <c r="F3" s="57"/>
      <c r="G3" s="57" t="s">
        <v>2</v>
      </c>
      <c r="H3" s="57"/>
      <c r="I3" s="57"/>
      <c r="J3" s="57"/>
      <c r="K3" s="57"/>
      <c r="L3" s="57"/>
      <c r="M3" s="57"/>
      <c r="N3" s="57"/>
      <c r="O3" s="57"/>
      <c r="P3" s="57"/>
    </row>
    <row r="4" spans="1:16" ht="11.25">
      <c r="A4" s="1"/>
      <c r="B4" s="56"/>
      <c r="C4" s="56"/>
      <c r="D4" s="56"/>
      <c r="E4" s="56"/>
      <c r="F4" s="56"/>
      <c r="G4" s="56" t="s">
        <v>3</v>
      </c>
      <c r="H4" s="56"/>
      <c r="I4" s="56"/>
      <c r="J4" s="56"/>
      <c r="K4" s="56"/>
      <c r="L4" s="56"/>
      <c r="M4" s="56"/>
      <c r="N4" s="56"/>
      <c r="O4" s="56"/>
      <c r="P4" s="56"/>
    </row>
    <row r="5" spans="1:16" ht="11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2.75" customHeight="1">
      <c r="A7" s="5"/>
      <c r="B7" s="5"/>
      <c r="C7" s="59">
        <v>2002</v>
      </c>
      <c r="D7" s="59"/>
      <c r="E7" s="59"/>
      <c r="F7" s="60"/>
      <c r="G7" s="59">
        <v>2001</v>
      </c>
      <c r="H7" s="59"/>
      <c r="I7" s="59"/>
      <c r="J7" s="59"/>
      <c r="K7" s="58">
        <v>2000</v>
      </c>
      <c r="L7" s="59"/>
      <c r="M7" s="59"/>
      <c r="N7" s="59"/>
      <c r="O7" s="59" t="s">
        <v>4</v>
      </c>
      <c r="P7" s="59"/>
    </row>
    <row r="8" spans="1:16" ht="11.25">
      <c r="A8" s="6"/>
      <c r="B8" s="6"/>
      <c r="C8" s="7" t="s">
        <v>5</v>
      </c>
      <c r="D8" s="7" t="s">
        <v>6</v>
      </c>
      <c r="E8" s="6" t="s">
        <v>7</v>
      </c>
      <c r="F8" s="8" t="s">
        <v>8</v>
      </c>
      <c r="G8" s="7" t="s">
        <v>5</v>
      </c>
      <c r="H8" s="7" t="s">
        <v>6</v>
      </c>
      <c r="I8" s="6" t="s">
        <v>7</v>
      </c>
      <c r="J8" s="6" t="s">
        <v>8</v>
      </c>
      <c r="K8" s="9" t="s">
        <v>5</v>
      </c>
      <c r="L8" s="6" t="s">
        <v>6</v>
      </c>
      <c r="M8" s="6" t="s">
        <v>7</v>
      </c>
      <c r="N8" s="7" t="s">
        <v>8</v>
      </c>
      <c r="O8" s="10" t="s">
        <v>9</v>
      </c>
      <c r="P8" s="10" t="s">
        <v>10</v>
      </c>
    </row>
    <row r="9" spans="1:16" ht="11.25">
      <c r="A9" s="11" t="s">
        <v>11</v>
      </c>
      <c r="B9" s="11"/>
      <c r="C9" s="11"/>
      <c r="D9" s="11"/>
      <c r="E9" s="12"/>
      <c r="F9" s="13"/>
      <c r="G9" s="11"/>
      <c r="H9" s="11"/>
      <c r="I9" s="11"/>
      <c r="J9" s="14"/>
      <c r="K9" s="15"/>
      <c r="L9" s="16"/>
      <c r="M9" s="16"/>
      <c r="N9" s="16"/>
      <c r="O9" s="14"/>
      <c r="P9" s="14"/>
    </row>
    <row r="10" spans="1:16" ht="11.25">
      <c r="A10" s="2" t="s">
        <v>12</v>
      </c>
      <c r="C10" s="17">
        <v>334944</v>
      </c>
      <c r="D10" s="17">
        <v>347325</v>
      </c>
      <c r="E10" s="18">
        <v>359437</v>
      </c>
      <c r="F10" s="19">
        <v>319242</v>
      </c>
      <c r="G10" s="17">
        <v>308895</v>
      </c>
      <c r="H10" s="17">
        <v>163415</v>
      </c>
      <c r="I10" s="17">
        <v>175459</v>
      </c>
      <c r="J10" s="17">
        <v>170927</v>
      </c>
      <c r="K10" s="20">
        <v>162580</v>
      </c>
      <c r="L10" s="18">
        <v>141069</v>
      </c>
      <c r="M10" s="18">
        <v>90244</v>
      </c>
      <c r="N10" s="18">
        <v>149055</v>
      </c>
      <c r="O10" s="17">
        <v>221257</v>
      </c>
      <c r="P10" s="17">
        <v>69279</v>
      </c>
    </row>
    <row r="11" spans="1:16" ht="11.25">
      <c r="A11" s="2" t="s">
        <v>13</v>
      </c>
      <c r="C11" s="17">
        <v>205554</v>
      </c>
      <c r="D11" s="17">
        <v>196643</v>
      </c>
      <c r="E11" s="18">
        <v>223326</v>
      </c>
      <c r="F11" s="19">
        <v>177560</v>
      </c>
      <c r="G11" s="17">
        <v>165655</v>
      </c>
      <c r="H11" s="17">
        <v>10939</v>
      </c>
      <c r="I11" s="17">
        <v>10737</v>
      </c>
      <c r="J11" s="17">
        <v>7352</v>
      </c>
      <c r="K11" s="20">
        <v>7516</v>
      </c>
      <c r="L11" s="18">
        <v>7199</v>
      </c>
      <c r="M11" s="18">
        <v>2016</v>
      </c>
      <c r="N11" s="18">
        <v>15018</v>
      </c>
      <c r="O11" s="17">
        <v>14219</v>
      </c>
      <c r="P11" s="17">
        <v>759</v>
      </c>
    </row>
    <row r="12" spans="1:16" ht="11.25">
      <c r="A12" s="2" t="s">
        <v>14</v>
      </c>
      <c r="C12" s="18">
        <f aca="true" t="shared" si="0" ref="C12:P12">C13+C14</f>
        <v>126443</v>
      </c>
      <c r="D12" s="18">
        <f t="shared" si="0"/>
        <v>147196</v>
      </c>
      <c r="E12" s="18">
        <f t="shared" si="0"/>
        <v>132422</v>
      </c>
      <c r="F12" s="19">
        <f t="shared" si="0"/>
        <v>138625</v>
      </c>
      <c r="G12" s="17">
        <f t="shared" si="0"/>
        <v>139389</v>
      </c>
      <c r="H12" s="17">
        <f t="shared" si="0"/>
        <v>149193</v>
      </c>
      <c r="I12" s="17">
        <f t="shared" si="0"/>
        <v>160193</v>
      </c>
      <c r="J12" s="17">
        <f t="shared" si="0"/>
        <v>160287</v>
      </c>
      <c r="K12" s="20">
        <f t="shared" si="0"/>
        <v>150284</v>
      </c>
      <c r="L12" s="18">
        <f t="shared" si="0"/>
        <v>130887</v>
      </c>
      <c r="M12" s="18">
        <f t="shared" si="0"/>
        <v>85193</v>
      </c>
      <c r="N12" s="18">
        <f t="shared" si="0"/>
        <v>130377</v>
      </c>
      <c r="O12" s="17">
        <f t="shared" si="0"/>
        <v>202684</v>
      </c>
      <c r="P12" s="17">
        <f t="shared" si="0"/>
        <v>66882</v>
      </c>
    </row>
    <row r="13" spans="2:16" ht="11.25">
      <c r="B13" s="2" t="s">
        <v>15</v>
      </c>
      <c r="C13" s="21">
        <v>0</v>
      </c>
      <c r="D13" s="21">
        <v>0</v>
      </c>
      <c r="E13" s="21">
        <v>0</v>
      </c>
      <c r="F13" s="22">
        <v>0</v>
      </c>
      <c r="G13" s="23">
        <v>0</v>
      </c>
      <c r="H13" s="23">
        <v>0</v>
      </c>
      <c r="I13" s="17">
        <v>0</v>
      </c>
      <c r="J13" s="17">
        <v>0</v>
      </c>
      <c r="K13" s="20"/>
      <c r="L13" s="18">
        <v>0</v>
      </c>
      <c r="M13" s="18">
        <v>0</v>
      </c>
      <c r="N13" s="18">
        <v>0</v>
      </c>
      <c r="O13" s="17">
        <v>0</v>
      </c>
      <c r="P13" s="17">
        <v>0</v>
      </c>
    </row>
    <row r="14" spans="2:16" ht="11.25">
      <c r="B14" s="2" t="s">
        <v>16</v>
      </c>
      <c r="C14" s="17">
        <v>126443</v>
      </c>
      <c r="D14" s="17">
        <v>147196</v>
      </c>
      <c r="E14" s="18">
        <v>132422</v>
      </c>
      <c r="F14" s="19">
        <v>138625</v>
      </c>
      <c r="G14" s="17">
        <v>139389</v>
      </c>
      <c r="H14" s="17">
        <v>149193</v>
      </c>
      <c r="I14" s="17">
        <v>160193</v>
      </c>
      <c r="J14" s="17">
        <v>160287</v>
      </c>
      <c r="K14" s="20">
        <v>150284</v>
      </c>
      <c r="L14" s="18">
        <v>130887</v>
      </c>
      <c r="M14" s="18">
        <v>85193</v>
      </c>
      <c r="N14" s="18">
        <v>130377</v>
      </c>
      <c r="O14" s="17">
        <v>202684</v>
      </c>
      <c r="P14" s="17">
        <v>66882</v>
      </c>
    </row>
    <row r="15" spans="1:16" ht="11.25">
      <c r="A15" s="2" t="s">
        <v>17</v>
      </c>
      <c r="C15" s="18">
        <v>0</v>
      </c>
      <c r="D15" s="18">
        <v>0</v>
      </c>
      <c r="E15" s="18">
        <v>0</v>
      </c>
      <c r="F15" s="19">
        <v>0</v>
      </c>
      <c r="G15" s="23">
        <v>0</v>
      </c>
      <c r="H15" s="23">
        <v>0</v>
      </c>
      <c r="I15" s="17">
        <v>0</v>
      </c>
      <c r="J15" s="17">
        <v>0</v>
      </c>
      <c r="K15" s="20">
        <v>0</v>
      </c>
      <c r="L15" s="18">
        <v>0</v>
      </c>
      <c r="M15" s="18">
        <v>0</v>
      </c>
      <c r="N15" s="18">
        <v>0</v>
      </c>
      <c r="O15" s="17">
        <v>0</v>
      </c>
      <c r="P15" s="17">
        <v>0</v>
      </c>
    </row>
    <row r="16" spans="1:16" ht="11.25">
      <c r="A16" s="2" t="s">
        <v>18</v>
      </c>
      <c r="C16" s="18">
        <f aca="true" t="shared" si="1" ref="C16:P16">C17+C21</f>
        <v>200503</v>
      </c>
      <c r="D16" s="18">
        <f t="shared" si="1"/>
        <v>197947</v>
      </c>
      <c r="E16" s="18">
        <f t="shared" si="1"/>
        <v>210119</v>
      </c>
      <c r="F16" s="19">
        <f t="shared" si="1"/>
        <v>179894</v>
      </c>
      <c r="G16" s="17">
        <f t="shared" si="1"/>
        <v>157677</v>
      </c>
      <c r="H16" s="17">
        <f t="shared" si="1"/>
        <v>1072</v>
      </c>
      <c r="I16" s="17">
        <f t="shared" si="1"/>
        <v>1074</v>
      </c>
      <c r="J16" s="17">
        <f t="shared" si="1"/>
        <v>1178</v>
      </c>
      <c r="K16" s="20">
        <f t="shared" si="1"/>
        <v>21912</v>
      </c>
      <c r="L16" s="18">
        <f t="shared" si="1"/>
        <v>21733</v>
      </c>
      <c r="M16" s="18">
        <f t="shared" si="1"/>
        <v>21889</v>
      </c>
      <c r="N16" s="18">
        <f t="shared" si="1"/>
        <v>53146</v>
      </c>
      <c r="O16" s="17">
        <f t="shared" si="1"/>
        <v>54025</v>
      </c>
      <c r="P16" s="17">
        <f t="shared" si="1"/>
        <v>55635</v>
      </c>
    </row>
    <row r="17" spans="2:16" ht="11.25">
      <c r="B17" s="2" t="s">
        <v>15</v>
      </c>
      <c r="C17" s="18">
        <f aca="true" t="shared" si="2" ref="C17:P17">SUM(C18:C20)</f>
        <v>0</v>
      </c>
      <c r="D17" s="18">
        <f t="shared" si="2"/>
        <v>0</v>
      </c>
      <c r="E17" s="18">
        <f t="shared" si="2"/>
        <v>0</v>
      </c>
      <c r="F17" s="19">
        <f t="shared" si="2"/>
        <v>9000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20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7">
        <f t="shared" si="2"/>
        <v>0</v>
      </c>
      <c r="P17" s="17">
        <f t="shared" si="2"/>
        <v>0</v>
      </c>
    </row>
    <row r="18" spans="2:16" ht="11.25">
      <c r="B18" s="2" t="s">
        <v>19</v>
      </c>
      <c r="C18" s="18">
        <v>0</v>
      </c>
      <c r="D18" s="18">
        <v>0</v>
      </c>
      <c r="E18" s="18">
        <v>0</v>
      </c>
      <c r="F18" s="19">
        <v>0</v>
      </c>
      <c r="G18" s="17">
        <v>0</v>
      </c>
      <c r="H18" s="17">
        <v>0</v>
      </c>
      <c r="I18" s="17">
        <v>0</v>
      </c>
      <c r="J18" s="17">
        <v>0</v>
      </c>
      <c r="K18" s="20">
        <v>0</v>
      </c>
      <c r="L18" s="18">
        <v>0</v>
      </c>
      <c r="M18" s="18">
        <v>0</v>
      </c>
      <c r="N18" s="18">
        <v>0</v>
      </c>
      <c r="O18" s="17">
        <v>0</v>
      </c>
      <c r="P18" s="17">
        <v>0</v>
      </c>
    </row>
    <row r="19" spans="2:16" ht="11.25">
      <c r="B19" s="2" t="s">
        <v>20</v>
      </c>
      <c r="C19" s="18">
        <v>0</v>
      </c>
      <c r="D19" s="18">
        <v>0</v>
      </c>
      <c r="E19" s="18">
        <v>0</v>
      </c>
      <c r="F19" s="19">
        <v>0</v>
      </c>
      <c r="G19" s="17">
        <v>0</v>
      </c>
      <c r="H19" s="17">
        <v>0</v>
      </c>
      <c r="I19" s="17">
        <v>0</v>
      </c>
      <c r="J19" s="17">
        <v>0</v>
      </c>
      <c r="K19" s="20">
        <v>0</v>
      </c>
      <c r="L19" s="18">
        <v>0</v>
      </c>
      <c r="M19" s="18">
        <v>0</v>
      </c>
      <c r="N19" s="18">
        <v>0</v>
      </c>
      <c r="O19" s="17">
        <v>0</v>
      </c>
      <c r="P19" s="17">
        <v>0</v>
      </c>
    </row>
    <row r="20" spans="2:16" ht="11.25">
      <c r="B20" s="2" t="s">
        <v>21</v>
      </c>
      <c r="C20" s="18">
        <v>0</v>
      </c>
      <c r="D20" s="18">
        <v>0</v>
      </c>
      <c r="E20" s="18">
        <v>0</v>
      </c>
      <c r="F20" s="19">
        <v>9000</v>
      </c>
      <c r="G20" s="17">
        <v>0</v>
      </c>
      <c r="H20" s="17">
        <v>0</v>
      </c>
      <c r="I20" s="17">
        <v>0</v>
      </c>
      <c r="J20" s="17">
        <v>0</v>
      </c>
      <c r="K20" s="20">
        <v>0</v>
      </c>
      <c r="L20" s="18">
        <v>0</v>
      </c>
      <c r="M20" s="18">
        <v>0</v>
      </c>
      <c r="N20" s="18">
        <v>0</v>
      </c>
      <c r="O20" s="17">
        <v>0</v>
      </c>
      <c r="P20" s="17">
        <v>0</v>
      </c>
    </row>
    <row r="21" spans="2:16" ht="11.25">
      <c r="B21" s="2" t="s">
        <v>16</v>
      </c>
      <c r="C21" s="18">
        <f>+C22+C23+C24</f>
        <v>200503</v>
      </c>
      <c r="D21" s="18">
        <f>+D22+D23+D24</f>
        <v>197947</v>
      </c>
      <c r="E21" s="18">
        <f>+E22+E23+E24</f>
        <v>210119</v>
      </c>
      <c r="F21" s="19">
        <f>+F22+F23+F24</f>
        <v>170894</v>
      </c>
      <c r="G21" s="17">
        <f aca="true" t="shared" si="3" ref="G21:P21">SUM(G23:G24)</f>
        <v>157677</v>
      </c>
      <c r="H21" s="17">
        <f t="shared" si="3"/>
        <v>1072</v>
      </c>
      <c r="I21" s="17">
        <f t="shared" si="3"/>
        <v>1074</v>
      </c>
      <c r="J21" s="17">
        <f t="shared" si="3"/>
        <v>1178</v>
      </c>
      <c r="K21" s="20">
        <f t="shared" si="3"/>
        <v>21912</v>
      </c>
      <c r="L21" s="18">
        <f t="shared" si="3"/>
        <v>21733</v>
      </c>
      <c r="M21" s="18">
        <f t="shared" si="3"/>
        <v>21889</v>
      </c>
      <c r="N21" s="18">
        <f t="shared" si="3"/>
        <v>53146</v>
      </c>
      <c r="O21" s="17">
        <f t="shared" si="3"/>
        <v>54025</v>
      </c>
      <c r="P21" s="17">
        <f t="shared" si="3"/>
        <v>55635</v>
      </c>
    </row>
    <row r="22" spans="2:16" ht="11.25">
      <c r="B22" s="2" t="s">
        <v>19</v>
      </c>
      <c r="C22" s="17">
        <v>2991</v>
      </c>
      <c r="D22" s="18">
        <v>3048</v>
      </c>
      <c r="E22" s="18">
        <v>3125</v>
      </c>
      <c r="F22" s="19">
        <v>3191</v>
      </c>
      <c r="G22" s="17"/>
      <c r="H22" s="17"/>
      <c r="I22" s="17"/>
      <c r="J22" s="17"/>
      <c r="K22" s="20"/>
      <c r="L22" s="18"/>
      <c r="M22" s="18"/>
      <c r="N22" s="18"/>
      <c r="O22" s="17"/>
      <c r="P22" s="17"/>
    </row>
    <row r="23" spans="2:16" ht="11.25">
      <c r="B23" s="2" t="s">
        <v>20</v>
      </c>
      <c r="C23" s="17">
        <v>1341</v>
      </c>
      <c r="D23" s="17">
        <v>1401</v>
      </c>
      <c r="E23" s="18">
        <v>1224</v>
      </c>
      <c r="F23" s="19">
        <v>3435</v>
      </c>
      <c r="G23" s="17">
        <f>43+3775</f>
        <v>3818</v>
      </c>
      <c r="H23" s="17">
        <f>57+914</f>
        <v>971</v>
      </c>
      <c r="I23" s="17">
        <v>966</v>
      </c>
      <c r="J23" s="17">
        <v>1105</v>
      </c>
      <c r="K23" s="20">
        <f>47+1185</f>
        <v>1232</v>
      </c>
      <c r="L23" s="18">
        <v>1010</v>
      </c>
      <c r="M23" s="18">
        <v>956</v>
      </c>
      <c r="N23" s="18">
        <v>867</v>
      </c>
      <c r="O23" s="17">
        <v>691</v>
      </c>
      <c r="P23" s="17">
        <v>676</v>
      </c>
    </row>
    <row r="24" spans="2:16" ht="11.25">
      <c r="B24" s="2" t="s">
        <v>21</v>
      </c>
      <c r="C24" s="17">
        <v>196171</v>
      </c>
      <c r="D24" s="17">
        <v>193498</v>
      </c>
      <c r="E24" s="18">
        <v>205770</v>
      </c>
      <c r="F24" s="19">
        <v>164268</v>
      </c>
      <c r="G24" s="17">
        <f>87+6+153766</f>
        <v>153859</v>
      </c>
      <c r="H24" s="17">
        <v>101</v>
      </c>
      <c r="I24" s="17">
        <v>108</v>
      </c>
      <c r="J24" s="17">
        <v>73</v>
      </c>
      <c r="K24" s="20">
        <f>87+5593+15000</f>
        <v>20680</v>
      </c>
      <c r="L24" s="18">
        <v>20723</v>
      </c>
      <c r="M24" s="18">
        <v>20933</v>
      </c>
      <c r="N24" s="18">
        <v>52279</v>
      </c>
      <c r="O24" s="17">
        <v>53334</v>
      </c>
      <c r="P24" s="17">
        <v>54959</v>
      </c>
    </row>
    <row r="25" spans="1:16" ht="11.25">
      <c r="A25" s="3" t="s">
        <v>22</v>
      </c>
      <c r="B25" s="3"/>
      <c r="C25" s="24">
        <v>9062</v>
      </c>
      <c r="D25" s="24">
        <v>8935</v>
      </c>
      <c r="E25" s="24">
        <v>8533</v>
      </c>
      <c r="F25" s="25">
        <v>8260</v>
      </c>
      <c r="G25" s="24">
        <v>8082</v>
      </c>
      <c r="H25" s="24">
        <v>7775</v>
      </c>
      <c r="I25" s="24">
        <v>7696</v>
      </c>
      <c r="J25" s="24">
        <v>7648</v>
      </c>
      <c r="K25" s="26">
        <v>7625</v>
      </c>
      <c r="L25" s="24">
        <v>7564</v>
      </c>
      <c r="M25" s="24">
        <v>7485</v>
      </c>
      <c r="N25" s="24">
        <v>7353</v>
      </c>
      <c r="O25" s="24">
        <v>7207</v>
      </c>
      <c r="P25" s="24">
        <v>6452</v>
      </c>
    </row>
    <row r="26" spans="1:16" ht="11.25">
      <c r="A26" s="11" t="s">
        <v>23</v>
      </c>
      <c r="C26" s="5"/>
      <c r="D26" s="17"/>
      <c r="E26" s="18"/>
      <c r="F26" s="27"/>
      <c r="J26" s="17"/>
      <c r="K26" s="20"/>
      <c r="L26" s="18"/>
      <c r="M26" s="18"/>
      <c r="N26" s="18"/>
      <c r="O26" s="17"/>
      <c r="P26" s="17"/>
    </row>
    <row r="27" spans="1:16" ht="11.25">
      <c r="A27" s="2" t="s">
        <v>12</v>
      </c>
      <c r="C27" s="18">
        <f aca="true" t="shared" si="4" ref="C27:I27">(C10+G10)/2</f>
        <v>321919.5</v>
      </c>
      <c r="D27" s="18">
        <f t="shared" si="4"/>
        <v>255370</v>
      </c>
      <c r="E27" s="18">
        <f t="shared" si="4"/>
        <v>267448</v>
      </c>
      <c r="F27" s="19">
        <f t="shared" si="4"/>
        <v>245084.5</v>
      </c>
      <c r="G27" s="17">
        <f t="shared" si="4"/>
        <v>235737.5</v>
      </c>
      <c r="H27" s="17">
        <f t="shared" si="4"/>
        <v>152242</v>
      </c>
      <c r="I27" s="17">
        <f t="shared" si="4"/>
        <v>132851.5</v>
      </c>
      <c r="J27" s="17">
        <f>+(J10+N10)/2</f>
        <v>159991</v>
      </c>
      <c r="K27" s="20">
        <f>+(K10+O10)/2</f>
        <v>191918.5</v>
      </c>
      <c r="L27" s="18">
        <f>+(195569+L10)/2</f>
        <v>168319</v>
      </c>
      <c r="M27" s="18">
        <f>+(189652+M10)/2</f>
        <v>139948</v>
      </c>
      <c r="N27" s="18">
        <f>+(132340+N10)/2</f>
        <v>140697.5</v>
      </c>
      <c r="O27" s="17">
        <f>(O10+P10)/2</f>
        <v>145268</v>
      </c>
      <c r="P27" s="17">
        <f>(P10+168421)/2</f>
        <v>118850</v>
      </c>
    </row>
    <row r="28" spans="1:16" ht="11.25">
      <c r="A28" s="2" t="s">
        <v>24</v>
      </c>
      <c r="C28" s="18">
        <f aca="true" t="shared" si="5" ref="C28:P28">C29+C30</f>
        <v>132916</v>
      </c>
      <c r="D28" s="18">
        <f t="shared" si="5"/>
        <v>148194.5</v>
      </c>
      <c r="E28" s="18">
        <f t="shared" si="5"/>
        <v>146307.5</v>
      </c>
      <c r="F28" s="19">
        <f t="shared" si="5"/>
        <v>149456</v>
      </c>
      <c r="G28" s="17">
        <f t="shared" si="5"/>
        <v>144836.5</v>
      </c>
      <c r="H28" s="17">
        <f t="shared" si="5"/>
        <v>140040</v>
      </c>
      <c r="I28" s="17">
        <f t="shared" si="5"/>
        <v>122693</v>
      </c>
      <c r="J28" s="17">
        <f t="shared" si="5"/>
        <v>145332</v>
      </c>
      <c r="K28" s="20">
        <f t="shared" si="5"/>
        <v>176484</v>
      </c>
      <c r="L28" s="18">
        <f t="shared" si="5"/>
        <v>162003.5</v>
      </c>
      <c r="M28" s="18">
        <f t="shared" si="5"/>
        <v>125008</v>
      </c>
      <c r="N28" s="18">
        <f t="shared" si="5"/>
        <v>129759</v>
      </c>
      <c r="O28" s="17">
        <f t="shared" si="5"/>
        <v>134783</v>
      </c>
      <c r="P28" s="17">
        <f t="shared" si="5"/>
        <v>99354</v>
      </c>
    </row>
    <row r="29" spans="2:16" ht="11.25">
      <c r="B29" s="2" t="s">
        <v>14</v>
      </c>
      <c r="C29" s="18">
        <f aca="true" t="shared" si="6" ref="C29:I29">(C12+G12)/2</f>
        <v>132916</v>
      </c>
      <c r="D29" s="18">
        <f t="shared" si="6"/>
        <v>148194.5</v>
      </c>
      <c r="E29" s="18">
        <f t="shared" si="6"/>
        <v>146307.5</v>
      </c>
      <c r="F29" s="19">
        <f t="shared" si="6"/>
        <v>149456</v>
      </c>
      <c r="G29" s="17">
        <f t="shared" si="6"/>
        <v>144836.5</v>
      </c>
      <c r="H29" s="17">
        <f t="shared" si="6"/>
        <v>140040</v>
      </c>
      <c r="I29" s="17">
        <f t="shared" si="6"/>
        <v>122693</v>
      </c>
      <c r="J29" s="17">
        <f>+(J12+N12)/2</f>
        <v>145332</v>
      </c>
      <c r="K29" s="20">
        <f>+(K12+O12)/2</f>
        <v>176484</v>
      </c>
      <c r="L29" s="18">
        <f>+(189977+L12)/2</f>
        <v>160432</v>
      </c>
      <c r="M29" s="18">
        <f>+(161680+M12)/2</f>
        <v>123436.5</v>
      </c>
      <c r="N29" s="18">
        <f>+(129141+N12)/2</f>
        <v>129759</v>
      </c>
      <c r="O29" s="17">
        <f>(O12+P12)/2</f>
        <v>134783</v>
      </c>
      <c r="P29" s="17">
        <f>(P12+131576)/2</f>
        <v>99229</v>
      </c>
    </row>
    <row r="30" spans="2:16" ht="11.25">
      <c r="B30" s="2" t="s">
        <v>17</v>
      </c>
      <c r="C30" s="18">
        <f aca="true" t="shared" si="7" ref="C30:I30">(C15+G15)/2</f>
        <v>0</v>
      </c>
      <c r="D30" s="18">
        <f t="shared" si="7"/>
        <v>0</v>
      </c>
      <c r="E30" s="18">
        <f t="shared" si="7"/>
        <v>0</v>
      </c>
      <c r="F30" s="19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>+(J15+N15)/2</f>
        <v>0</v>
      </c>
      <c r="K30" s="20">
        <f>+(K15+O15)/2</f>
        <v>0</v>
      </c>
      <c r="L30" s="18">
        <f>+(3143+L15)/2</f>
        <v>1571.5</v>
      </c>
      <c r="M30" s="18">
        <f>+(3143+M15)/2</f>
        <v>1571.5</v>
      </c>
      <c r="N30" s="18">
        <v>0</v>
      </c>
      <c r="O30" s="17">
        <f>(O15+P15)/2</f>
        <v>0</v>
      </c>
      <c r="P30" s="17">
        <f>(P15+250)/2</f>
        <v>125</v>
      </c>
    </row>
    <row r="31" spans="1:16" ht="11.25">
      <c r="A31" s="3" t="s">
        <v>22</v>
      </c>
      <c r="B31" s="3"/>
      <c r="C31" s="24">
        <f aca="true" t="shared" si="8" ref="C31:I31">(C25+G25)/2</f>
        <v>8572</v>
      </c>
      <c r="D31" s="18">
        <f t="shared" si="8"/>
        <v>8355</v>
      </c>
      <c r="E31" s="18">
        <f t="shared" si="8"/>
        <v>8114.5</v>
      </c>
      <c r="F31" s="25">
        <f t="shared" si="8"/>
        <v>7954</v>
      </c>
      <c r="G31" s="24">
        <f t="shared" si="8"/>
        <v>7853.5</v>
      </c>
      <c r="H31" s="24">
        <f t="shared" si="8"/>
        <v>7669.5</v>
      </c>
      <c r="I31" s="24">
        <f t="shared" si="8"/>
        <v>7590.5</v>
      </c>
      <c r="J31" s="24">
        <f>+(J25+N25)/2</f>
        <v>7500.5</v>
      </c>
      <c r="K31" s="26">
        <f>+(K25+O25)/2</f>
        <v>7416</v>
      </c>
      <c r="L31" s="24">
        <f>+(6988+L25)/2</f>
        <v>7276</v>
      </c>
      <c r="M31" s="24">
        <f>+(6753+M25)/2</f>
        <v>7119</v>
      </c>
      <c r="N31" s="24">
        <f>+(6481+N25)/2</f>
        <v>6917</v>
      </c>
      <c r="O31" s="24">
        <f>(O25+P25)/2</f>
        <v>6829.5</v>
      </c>
      <c r="P31" s="24">
        <f>(P25+33924)/2</f>
        <v>20188</v>
      </c>
    </row>
    <row r="32" spans="1:14" ht="11.25">
      <c r="A32" s="11" t="s">
        <v>25</v>
      </c>
      <c r="D32" s="28"/>
      <c r="E32" s="28"/>
      <c r="F32" s="27"/>
      <c r="J32" s="17"/>
      <c r="K32" s="29"/>
      <c r="L32" s="4"/>
      <c r="M32" s="4"/>
      <c r="N32" s="4"/>
    </row>
    <row r="33" spans="1:16" ht="11.25">
      <c r="A33" s="2" t="s">
        <v>26</v>
      </c>
      <c r="C33" s="17">
        <v>11950</v>
      </c>
      <c r="D33" s="18">
        <v>9203</v>
      </c>
      <c r="E33" s="18">
        <v>5894</v>
      </c>
      <c r="F33" s="19">
        <v>2805</v>
      </c>
      <c r="G33" s="17">
        <v>12555</v>
      </c>
      <c r="H33" s="17">
        <v>8298</v>
      </c>
      <c r="I33" s="17">
        <v>5642</v>
      </c>
      <c r="J33" s="17">
        <v>2874</v>
      </c>
      <c r="K33" s="20">
        <v>9198</v>
      </c>
      <c r="L33" s="18">
        <v>6449</v>
      </c>
      <c r="M33" s="18">
        <v>4171</v>
      </c>
      <c r="N33" s="18">
        <v>2587</v>
      </c>
      <c r="O33" s="17">
        <v>8600</v>
      </c>
      <c r="P33" s="17">
        <v>3513</v>
      </c>
    </row>
    <row r="34" spans="1:16" ht="11.25">
      <c r="A34" s="2" t="s">
        <v>27</v>
      </c>
      <c r="C34" s="17">
        <v>10598</v>
      </c>
      <c r="D34" s="18">
        <v>8083</v>
      </c>
      <c r="E34" s="18">
        <v>5256</v>
      </c>
      <c r="F34" s="19">
        <v>2524</v>
      </c>
      <c r="G34" s="17">
        <v>11696</v>
      </c>
      <c r="H34" s="17">
        <v>7836</v>
      </c>
      <c r="I34" s="17">
        <v>5355</v>
      </c>
      <c r="J34" s="17">
        <v>2733</v>
      </c>
      <c r="K34" s="20">
        <v>8385</v>
      </c>
      <c r="L34" s="18">
        <v>5787</v>
      </c>
      <c r="M34" s="18">
        <v>3682</v>
      </c>
      <c r="N34" s="18">
        <v>2314</v>
      </c>
      <c r="O34" s="17">
        <v>7417</v>
      </c>
      <c r="P34" s="17">
        <v>2314</v>
      </c>
    </row>
    <row r="35" spans="1:16" ht="11.25">
      <c r="A35" s="2" t="s">
        <v>28</v>
      </c>
      <c r="C35" s="17">
        <f>+C33-C34</f>
        <v>1352</v>
      </c>
      <c r="D35" s="18">
        <f>+D33-D34</f>
        <v>1120</v>
      </c>
      <c r="E35" s="18">
        <f>+E33-E34</f>
        <v>638</v>
      </c>
      <c r="F35" s="19">
        <f>+F33-F34</f>
        <v>281</v>
      </c>
      <c r="G35" s="2">
        <f>+G33-G34</f>
        <v>859</v>
      </c>
      <c r="H35" s="17">
        <f aca="true" t="shared" si="9" ref="H35:P35">H33-H34</f>
        <v>462</v>
      </c>
      <c r="I35" s="17">
        <f t="shared" si="9"/>
        <v>287</v>
      </c>
      <c r="J35" s="17">
        <f t="shared" si="9"/>
        <v>141</v>
      </c>
      <c r="K35" s="20">
        <f t="shared" si="9"/>
        <v>813</v>
      </c>
      <c r="L35" s="18">
        <f t="shared" si="9"/>
        <v>662</v>
      </c>
      <c r="M35" s="18">
        <f t="shared" si="9"/>
        <v>489</v>
      </c>
      <c r="N35" s="18">
        <f t="shared" si="9"/>
        <v>273</v>
      </c>
      <c r="O35" s="17">
        <f t="shared" si="9"/>
        <v>1183</v>
      </c>
      <c r="P35" s="17">
        <f t="shared" si="9"/>
        <v>1199</v>
      </c>
    </row>
    <row r="36" spans="1:16" ht="11.25">
      <c r="A36" s="2" t="s">
        <v>29</v>
      </c>
      <c r="C36" s="17">
        <v>8</v>
      </c>
      <c r="D36" s="18">
        <v>6</v>
      </c>
      <c r="E36" s="18">
        <v>3</v>
      </c>
      <c r="F36" s="19">
        <v>0</v>
      </c>
      <c r="G36" s="2">
        <v>10</v>
      </c>
      <c r="H36" s="17">
        <v>9</v>
      </c>
      <c r="I36" s="17">
        <v>7</v>
      </c>
      <c r="J36" s="17">
        <v>5</v>
      </c>
      <c r="K36" s="20">
        <v>1</v>
      </c>
      <c r="L36" s="18">
        <v>0</v>
      </c>
      <c r="M36" s="18">
        <v>0</v>
      </c>
      <c r="N36" s="18">
        <v>0</v>
      </c>
      <c r="O36" s="17">
        <v>4</v>
      </c>
      <c r="P36" s="17">
        <v>13</v>
      </c>
    </row>
    <row r="37" spans="1:16" ht="11.25">
      <c r="A37" s="2" t="s">
        <v>30</v>
      </c>
      <c r="C37" s="17">
        <f>+C36+C35</f>
        <v>1360</v>
      </c>
      <c r="D37" s="18">
        <f>+D36+D35</f>
        <v>1126</v>
      </c>
      <c r="E37" s="18">
        <f>+E36+E35</f>
        <v>641</v>
      </c>
      <c r="F37" s="19">
        <f>+F36+F35</f>
        <v>281</v>
      </c>
      <c r="G37" s="2">
        <f>+G36+G35</f>
        <v>869</v>
      </c>
      <c r="H37" s="17">
        <f aca="true" t="shared" si="10" ref="H37:P37">H35+H36</f>
        <v>471</v>
      </c>
      <c r="I37" s="17">
        <f t="shared" si="10"/>
        <v>294</v>
      </c>
      <c r="J37" s="17">
        <f t="shared" si="10"/>
        <v>146</v>
      </c>
      <c r="K37" s="20">
        <f t="shared" si="10"/>
        <v>814</v>
      </c>
      <c r="L37" s="18">
        <f t="shared" si="10"/>
        <v>662</v>
      </c>
      <c r="M37" s="18">
        <f t="shared" si="10"/>
        <v>489</v>
      </c>
      <c r="N37" s="18">
        <f t="shared" si="10"/>
        <v>273</v>
      </c>
      <c r="O37" s="17">
        <f t="shared" si="10"/>
        <v>1187</v>
      </c>
      <c r="P37" s="17">
        <f t="shared" si="10"/>
        <v>1212</v>
      </c>
    </row>
    <row r="38" spans="1:16" ht="11.25">
      <c r="A38" s="2" t="s">
        <v>31</v>
      </c>
      <c r="C38" s="17">
        <v>379</v>
      </c>
      <c r="D38" s="18">
        <v>274</v>
      </c>
      <c r="E38" s="18">
        <v>190</v>
      </c>
      <c r="F38" s="19">
        <v>104</v>
      </c>
      <c r="G38" s="2">
        <v>412</v>
      </c>
      <c r="H38" s="17">
        <v>322</v>
      </c>
      <c r="I38" s="17">
        <v>224</v>
      </c>
      <c r="J38" s="17">
        <v>123</v>
      </c>
      <c r="K38" s="20">
        <v>395</v>
      </c>
      <c r="L38" s="18">
        <v>305</v>
      </c>
      <c r="M38" s="18">
        <v>212</v>
      </c>
      <c r="N38" s="18">
        <v>129</v>
      </c>
      <c r="O38" s="17">
        <v>429</v>
      </c>
      <c r="P38" s="17">
        <v>457</v>
      </c>
    </row>
    <row r="39" spans="1:16" ht="11.25">
      <c r="A39" s="2" t="s">
        <v>32</v>
      </c>
      <c r="C39" s="17">
        <f>+C37-C38</f>
        <v>981</v>
      </c>
      <c r="D39" s="18">
        <f>+D37-D38</f>
        <v>852</v>
      </c>
      <c r="E39" s="18">
        <f>+E37-E38</f>
        <v>451</v>
      </c>
      <c r="F39" s="19">
        <f>+F37-F38</f>
        <v>177</v>
      </c>
      <c r="G39" s="2">
        <f>+G37-G38</f>
        <v>457</v>
      </c>
      <c r="H39" s="17">
        <f aca="true" t="shared" si="11" ref="H39:P39">H37-H38</f>
        <v>149</v>
      </c>
      <c r="I39" s="17">
        <f t="shared" si="11"/>
        <v>70</v>
      </c>
      <c r="J39" s="17">
        <f t="shared" si="11"/>
        <v>23</v>
      </c>
      <c r="K39" s="20">
        <f t="shared" si="11"/>
        <v>419</v>
      </c>
      <c r="L39" s="18">
        <f t="shared" si="11"/>
        <v>357</v>
      </c>
      <c r="M39" s="18">
        <f t="shared" si="11"/>
        <v>277</v>
      </c>
      <c r="N39" s="18">
        <f t="shared" si="11"/>
        <v>144</v>
      </c>
      <c r="O39" s="17">
        <f t="shared" si="11"/>
        <v>758</v>
      </c>
      <c r="P39" s="17">
        <f t="shared" si="11"/>
        <v>755</v>
      </c>
    </row>
    <row r="40" spans="1:16" ht="11.25">
      <c r="A40" s="3" t="s">
        <v>33</v>
      </c>
      <c r="B40" s="3"/>
      <c r="C40" s="24">
        <f>+C39</f>
        <v>981</v>
      </c>
      <c r="D40" s="24">
        <v>852</v>
      </c>
      <c r="E40" s="24">
        <v>451</v>
      </c>
      <c r="F40" s="25">
        <v>177</v>
      </c>
      <c r="G40" s="3">
        <v>457</v>
      </c>
      <c r="H40" s="24">
        <v>149</v>
      </c>
      <c r="I40" s="24">
        <v>70</v>
      </c>
      <c r="J40" s="24">
        <v>23</v>
      </c>
      <c r="K40" s="26">
        <v>419</v>
      </c>
      <c r="L40" s="24">
        <v>357</v>
      </c>
      <c r="M40" s="24">
        <v>277</v>
      </c>
      <c r="N40" s="24">
        <v>144</v>
      </c>
      <c r="O40" s="24">
        <v>758</v>
      </c>
      <c r="P40" s="24">
        <v>755</v>
      </c>
    </row>
    <row r="41" spans="1:16" ht="11.25">
      <c r="A41" s="30" t="s">
        <v>34</v>
      </c>
      <c r="B41" s="5"/>
      <c r="C41" s="4"/>
      <c r="E41" s="18"/>
      <c r="F41" s="27"/>
      <c r="G41" s="4"/>
      <c r="H41" s="4"/>
      <c r="I41" s="17"/>
      <c r="J41" s="5"/>
      <c r="K41" s="31"/>
      <c r="L41" s="5"/>
      <c r="M41" s="5"/>
      <c r="N41" s="4"/>
      <c r="O41" s="5"/>
      <c r="P41" s="5"/>
    </row>
    <row r="42" spans="1:16" ht="11.25">
      <c r="A42" s="4" t="s">
        <v>35</v>
      </c>
      <c r="B42" s="4"/>
      <c r="C42" s="18">
        <v>3500</v>
      </c>
      <c r="D42" s="21">
        <v>0</v>
      </c>
      <c r="E42" s="21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32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ht="11.25">
      <c r="A43" s="4" t="s">
        <v>36</v>
      </c>
      <c r="B43" s="4"/>
      <c r="C43" s="21">
        <v>0</v>
      </c>
      <c r="D43" s="21">
        <v>0</v>
      </c>
      <c r="E43" s="21">
        <v>0</v>
      </c>
      <c r="F43" s="22">
        <v>0</v>
      </c>
      <c r="G43" s="21">
        <v>0</v>
      </c>
      <c r="H43" s="21">
        <v>0</v>
      </c>
      <c r="I43" s="21">
        <v>0</v>
      </c>
      <c r="J43" s="21">
        <v>0</v>
      </c>
      <c r="K43" s="32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ht="11.25">
      <c r="A44" s="4" t="s">
        <v>37</v>
      </c>
      <c r="B44" s="4"/>
      <c r="C44" s="33">
        <f aca="true" t="shared" si="12" ref="C44:P44">+C42/C12</f>
        <v>0.02768045680662433</v>
      </c>
      <c r="D44" s="34">
        <f t="shared" si="12"/>
        <v>0</v>
      </c>
      <c r="E44" s="34">
        <f t="shared" si="12"/>
        <v>0</v>
      </c>
      <c r="F44" s="35">
        <f t="shared" si="12"/>
        <v>0</v>
      </c>
      <c r="G44" s="34">
        <f t="shared" si="12"/>
        <v>0</v>
      </c>
      <c r="H44" s="34">
        <f t="shared" si="12"/>
        <v>0</v>
      </c>
      <c r="I44" s="34">
        <f t="shared" si="12"/>
        <v>0</v>
      </c>
      <c r="J44" s="34">
        <f t="shared" si="12"/>
        <v>0</v>
      </c>
      <c r="K44" s="36">
        <f t="shared" si="12"/>
        <v>0</v>
      </c>
      <c r="L44" s="34">
        <f t="shared" si="12"/>
        <v>0</v>
      </c>
      <c r="M44" s="34">
        <f t="shared" si="12"/>
        <v>0</v>
      </c>
      <c r="N44" s="34">
        <f t="shared" si="12"/>
        <v>0</v>
      </c>
      <c r="O44" s="34">
        <f t="shared" si="12"/>
        <v>0</v>
      </c>
      <c r="P44" s="34">
        <f t="shared" si="12"/>
        <v>0</v>
      </c>
    </row>
    <row r="45" spans="1:16" ht="11.25">
      <c r="A45" s="4" t="s">
        <v>38</v>
      </c>
      <c r="B45" s="4"/>
      <c r="C45" s="34">
        <v>0</v>
      </c>
      <c r="D45" s="34">
        <v>0</v>
      </c>
      <c r="E45" s="34">
        <v>0</v>
      </c>
      <c r="F45" s="35">
        <v>0</v>
      </c>
      <c r="G45" s="34">
        <v>0</v>
      </c>
      <c r="H45" s="34">
        <v>0</v>
      </c>
      <c r="I45" s="34">
        <v>0</v>
      </c>
      <c r="J45" s="34">
        <v>0</v>
      </c>
      <c r="K45" s="36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</row>
    <row r="46" spans="1:16" ht="11.25">
      <c r="A46" s="3" t="s">
        <v>39</v>
      </c>
      <c r="B46" s="3"/>
      <c r="C46" s="37">
        <f aca="true" t="shared" si="13" ref="C46:P46">+C43/C12</f>
        <v>0</v>
      </c>
      <c r="D46" s="37">
        <f t="shared" si="13"/>
        <v>0</v>
      </c>
      <c r="E46" s="37">
        <f t="shared" si="13"/>
        <v>0</v>
      </c>
      <c r="F46" s="38">
        <f t="shared" si="13"/>
        <v>0</v>
      </c>
      <c r="G46" s="37">
        <f t="shared" si="13"/>
        <v>0</v>
      </c>
      <c r="H46" s="37">
        <f t="shared" si="13"/>
        <v>0</v>
      </c>
      <c r="I46" s="37">
        <f t="shared" si="13"/>
        <v>0</v>
      </c>
      <c r="J46" s="37">
        <f t="shared" si="13"/>
        <v>0</v>
      </c>
      <c r="K46" s="39">
        <f t="shared" si="13"/>
        <v>0</v>
      </c>
      <c r="L46" s="37">
        <f t="shared" si="13"/>
        <v>0</v>
      </c>
      <c r="M46" s="37">
        <f t="shared" si="13"/>
        <v>0</v>
      </c>
      <c r="N46" s="37">
        <f t="shared" si="13"/>
        <v>0</v>
      </c>
      <c r="O46" s="37">
        <f t="shared" si="13"/>
        <v>0</v>
      </c>
      <c r="P46" s="37">
        <f t="shared" si="13"/>
        <v>0</v>
      </c>
    </row>
    <row r="47" spans="1:17" ht="11.25">
      <c r="A47" s="11" t="s">
        <v>40</v>
      </c>
      <c r="E47" s="18"/>
      <c r="F47" s="27"/>
      <c r="G47" s="5"/>
      <c r="H47" s="5"/>
      <c r="I47" s="5"/>
      <c r="J47" s="40"/>
      <c r="K47" s="5"/>
      <c r="L47" s="5"/>
      <c r="M47" s="5"/>
      <c r="N47" s="4"/>
      <c r="O47" s="5"/>
      <c r="P47" s="5"/>
      <c r="Q47" s="4"/>
    </row>
    <row r="48" spans="1:17" ht="11.25">
      <c r="A48" s="2" t="s">
        <v>41</v>
      </c>
      <c r="C48" s="41">
        <f>+C25/C12</f>
        <v>0.07166865702332276</v>
      </c>
      <c r="D48" s="41">
        <f>+D25/D12</f>
        <v>0.060701377754830296</v>
      </c>
      <c r="E48" s="41">
        <f>+E25/E12</f>
        <v>0.06443793327392729</v>
      </c>
      <c r="F48" s="42">
        <f aca="true" t="shared" si="14" ref="F48:P48">F25/F12</f>
        <v>0.05958521190261497</v>
      </c>
      <c r="G48" s="41">
        <f t="shared" si="14"/>
        <v>0.05798161978348363</v>
      </c>
      <c r="H48" s="41">
        <f t="shared" si="14"/>
        <v>0.0521137050665916</v>
      </c>
      <c r="I48" s="41">
        <f t="shared" si="14"/>
        <v>0.048042049278058344</v>
      </c>
      <c r="J48" s="42">
        <f t="shared" si="14"/>
        <v>0.04771441227298533</v>
      </c>
      <c r="K48" s="41">
        <f t="shared" si="14"/>
        <v>0.05073727076734716</v>
      </c>
      <c r="L48" s="41">
        <f t="shared" si="14"/>
        <v>0.057790307669974866</v>
      </c>
      <c r="M48" s="41">
        <f t="shared" si="14"/>
        <v>0.0878593311657061</v>
      </c>
      <c r="N48" s="41">
        <f t="shared" si="14"/>
        <v>0.056397984307048024</v>
      </c>
      <c r="O48" s="41">
        <f t="shared" si="14"/>
        <v>0.03555781413431746</v>
      </c>
      <c r="P48" s="41">
        <f t="shared" si="14"/>
        <v>0.09646840704524386</v>
      </c>
      <c r="Q48" s="4"/>
    </row>
    <row r="49" spans="1:17" ht="11.25">
      <c r="A49" s="3" t="s">
        <v>42</v>
      </c>
      <c r="B49" s="3"/>
      <c r="C49" s="43">
        <f aca="true" t="shared" si="15" ref="C49:P49">C25/(C12+C15)</f>
        <v>0.07166865702332276</v>
      </c>
      <c r="D49" s="43">
        <f t="shared" si="15"/>
        <v>0.060701377754830296</v>
      </c>
      <c r="E49" s="43">
        <f t="shared" si="15"/>
        <v>0.06443793327392729</v>
      </c>
      <c r="F49" s="44">
        <f t="shared" si="15"/>
        <v>0.05958521190261497</v>
      </c>
      <c r="G49" s="43">
        <f t="shared" si="15"/>
        <v>0.05798161978348363</v>
      </c>
      <c r="H49" s="43">
        <f t="shared" si="15"/>
        <v>0.0521137050665916</v>
      </c>
      <c r="I49" s="43">
        <f t="shared" si="15"/>
        <v>0.048042049278058344</v>
      </c>
      <c r="J49" s="44">
        <f t="shared" si="15"/>
        <v>0.04771441227298533</v>
      </c>
      <c r="K49" s="43">
        <f t="shared" si="15"/>
        <v>0.05073727076734716</v>
      </c>
      <c r="L49" s="43">
        <f t="shared" si="15"/>
        <v>0.057790307669974866</v>
      </c>
      <c r="M49" s="43">
        <f t="shared" si="15"/>
        <v>0.0878593311657061</v>
      </c>
      <c r="N49" s="43">
        <f t="shared" si="15"/>
        <v>0.056397984307048024</v>
      </c>
      <c r="O49" s="43">
        <f t="shared" si="15"/>
        <v>0.03555781413431746</v>
      </c>
      <c r="P49" s="43">
        <f t="shared" si="15"/>
        <v>0.09646840704524386</v>
      </c>
      <c r="Q49" s="4"/>
    </row>
    <row r="50" spans="1:14" ht="11.25">
      <c r="A50" s="11" t="s">
        <v>43</v>
      </c>
      <c r="C50" s="18"/>
      <c r="D50" s="18"/>
      <c r="E50" s="18"/>
      <c r="F50" s="27"/>
      <c r="K50" s="29"/>
      <c r="L50" s="4"/>
      <c r="M50" s="4"/>
      <c r="N50" s="4"/>
    </row>
    <row r="51" spans="1:16" ht="11.25">
      <c r="A51" s="2" t="s">
        <v>44</v>
      </c>
      <c r="C51" s="41">
        <f aca="true" t="shared" si="16" ref="C51:P51">C11/C16</f>
        <v>1.0251916430178103</v>
      </c>
      <c r="D51" s="41">
        <f t="shared" si="16"/>
        <v>0.9934123780607941</v>
      </c>
      <c r="E51" s="41">
        <f t="shared" si="16"/>
        <v>1.0628548584373616</v>
      </c>
      <c r="F51" s="45">
        <f t="shared" si="16"/>
        <v>0.9870256929080459</v>
      </c>
      <c r="G51" s="46">
        <f t="shared" si="16"/>
        <v>1.0505971067435327</v>
      </c>
      <c r="H51" s="46">
        <f t="shared" si="16"/>
        <v>10.20429104477612</v>
      </c>
      <c r="I51" s="46">
        <f t="shared" si="16"/>
        <v>9.997206703910615</v>
      </c>
      <c r="J51" s="47">
        <f t="shared" si="16"/>
        <v>6.241086587436333</v>
      </c>
      <c r="K51" s="48">
        <f t="shared" si="16"/>
        <v>0.3430083972252647</v>
      </c>
      <c r="L51" s="41">
        <f t="shared" si="16"/>
        <v>0.3312474117701192</v>
      </c>
      <c r="M51" s="41">
        <f t="shared" si="16"/>
        <v>0.09210105532459226</v>
      </c>
      <c r="N51" s="41">
        <f t="shared" si="16"/>
        <v>0.28258006246942385</v>
      </c>
      <c r="O51" s="47">
        <f t="shared" si="16"/>
        <v>0.2631929662193429</v>
      </c>
      <c r="P51" s="47">
        <f t="shared" si="16"/>
        <v>0.013642491237530332</v>
      </c>
    </row>
    <row r="52" spans="1:16" ht="11.25">
      <c r="A52" s="2" t="s">
        <v>45</v>
      </c>
      <c r="C52" s="41">
        <f aca="true" t="shared" si="17" ref="C52:P52">C11/C10</f>
        <v>0.6136966179421037</v>
      </c>
      <c r="D52" s="41">
        <f t="shared" si="17"/>
        <v>0.5661642553804074</v>
      </c>
      <c r="E52" s="41">
        <f t="shared" si="17"/>
        <v>0.6213216780687575</v>
      </c>
      <c r="F52" s="45">
        <f t="shared" si="17"/>
        <v>0.5561924809392248</v>
      </c>
      <c r="G52" s="46">
        <f t="shared" si="17"/>
        <v>0.5362825555609512</v>
      </c>
      <c r="H52" s="46">
        <f t="shared" si="17"/>
        <v>0.06693999938806107</v>
      </c>
      <c r="I52" s="46">
        <f t="shared" si="17"/>
        <v>0.06119378316301814</v>
      </c>
      <c r="J52" s="47">
        <f t="shared" si="17"/>
        <v>0.0430125141142125</v>
      </c>
      <c r="K52" s="48">
        <f t="shared" si="17"/>
        <v>0.046229548529954485</v>
      </c>
      <c r="L52" s="41">
        <f t="shared" si="17"/>
        <v>0.051031764597466486</v>
      </c>
      <c r="M52" s="41">
        <f t="shared" si="17"/>
        <v>0.022339435308718587</v>
      </c>
      <c r="N52" s="41">
        <f t="shared" si="17"/>
        <v>0.10075475495622421</v>
      </c>
      <c r="O52" s="47">
        <f t="shared" si="17"/>
        <v>0.06426463343532635</v>
      </c>
      <c r="P52" s="47">
        <f t="shared" si="17"/>
        <v>0.010955700861732993</v>
      </c>
    </row>
    <row r="53" spans="1:16" ht="11.25">
      <c r="A53" s="3" t="s">
        <v>46</v>
      </c>
      <c r="B53" s="3"/>
      <c r="C53" s="43">
        <f aca="true" t="shared" si="18" ref="C53:P53">(C11+C15)/C16</f>
        <v>1.0251916430178103</v>
      </c>
      <c r="D53" s="43">
        <f t="shared" si="18"/>
        <v>0.9934123780607941</v>
      </c>
      <c r="E53" s="43">
        <f t="shared" si="18"/>
        <v>1.0628548584373616</v>
      </c>
      <c r="F53" s="49">
        <f t="shared" si="18"/>
        <v>0.9870256929080459</v>
      </c>
      <c r="G53" s="50">
        <f t="shared" si="18"/>
        <v>1.0505971067435327</v>
      </c>
      <c r="H53" s="50">
        <f t="shared" si="18"/>
        <v>10.20429104477612</v>
      </c>
      <c r="I53" s="50">
        <f t="shared" si="18"/>
        <v>9.997206703910615</v>
      </c>
      <c r="J53" s="43">
        <f t="shared" si="18"/>
        <v>6.241086587436333</v>
      </c>
      <c r="K53" s="51">
        <f t="shared" si="18"/>
        <v>0.3430083972252647</v>
      </c>
      <c r="L53" s="43">
        <f t="shared" si="18"/>
        <v>0.3312474117701192</v>
      </c>
      <c r="M53" s="43">
        <f t="shared" si="18"/>
        <v>0.09210105532459226</v>
      </c>
      <c r="N53" s="43">
        <f t="shared" si="18"/>
        <v>0.28258006246942385</v>
      </c>
      <c r="O53" s="43">
        <f t="shared" si="18"/>
        <v>0.2631929662193429</v>
      </c>
      <c r="P53" s="43">
        <f t="shared" si="18"/>
        <v>0.013642491237530332</v>
      </c>
    </row>
    <row r="54" spans="1:14" ht="11.25">
      <c r="A54" s="11" t="s">
        <v>47</v>
      </c>
      <c r="D54" s="18"/>
      <c r="E54" s="18"/>
      <c r="F54" s="27"/>
      <c r="K54" s="29"/>
      <c r="L54" s="4"/>
      <c r="M54" s="4"/>
      <c r="N54" s="4"/>
    </row>
    <row r="55" spans="1:16" ht="11.25">
      <c r="A55" s="2" t="s">
        <v>48</v>
      </c>
      <c r="B55" s="4"/>
      <c r="C55" s="52">
        <f>C40/C28</f>
        <v>0.0073806012820127</v>
      </c>
      <c r="D55" s="41">
        <f>(D40/0.75)/D28</f>
        <v>0.007665601624891612</v>
      </c>
      <c r="E55" s="41">
        <f>(E40/0.5)/E28</f>
        <v>0.006165097483040856</v>
      </c>
      <c r="F55" s="42">
        <f>((F40)/0.25)/F28</f>
        <v>0.004737180173428969</v>
      </c>
      <c r="G55" s="52">
        <f>G40/G28</f>
        <v>0.0031552819903822586</v>
      </c>
      <c r="H55" s="52">
        <f>(H40/0.75)/H28</f>
        <v>0.0014186422926782823</v>
      </c>
      <c r="I55" s="47">
        <f>(I40/0.5)/I28</f>
        <v>0.0011410593921413609</v>
      </c>
      <c r="J55" s="47">
        <f>((J40)/0.25)/J28</f>
        <v>0.0006330333305810145</v>
      </c>
      <c r="K55" s="53">
        <f>K40/K28</f>
        <v>0.002374152897713107</v>
      </c>
      <c r="L55" s="52">
        <f>(L40/0.75)/L28</f>
        <v>0.002938208125133099</v>
      </c>
      <c r="M55" s="52">
        <f>(M40/0.5)/M28</f>
        <v>0.00443171637015231</v>
      </c>
      <c r="N55" s="41">
        <f>((N40)/0.25)/N28</f>
        <v>0.004438998450974499</v>
      </c>
      <c r="O55" s="47">
        <f>O40/O28</f>
        <v>0.005623854640422012</v>
      </c>
      <c r="P55" s="47">
        <f>P40/P28</f>
        <v>0.007599090122189343</v>
      </c>
    </row>
    <row r="56" spans="1:16" ht="11.25">
      <c r="A56" s="2" t="s">
        <v>49</v>
      </c>
      <c r="B56" s="4"/>
      <c r="C56" s="52">
        <f>C40/C27</f>
        <v>0.0030473456873535156</v>
      </c>
      <c r="D56" s="41">
        <f>(D40/0.75)/D27</f>
        <v>0.004448447350902612</v>
      </c>
      <c r="E56" s="41">
        <f>(E40/0.5)/E27</f>
        <v>0.0033726182285902305</v>
      </c>
      <c r="F56" s="42">
        <f>((F40)/0.25)/F27</f>
        <v>0.0028887995772886492</v>
      </c>
      <c r="G56" s="52">
        <f>G40/G27</f>
        <v>0.0019385969563603584</v>
      </c>
      <c r="H56" s="52">
        <f>(H40/0.75)/H27</f>
        <v>0.0013049399421097112</v>
      </c>
      <c r="I56" s="47">
        <f>(I40/0.5)/I27</f>
        <v>0.0010538081993805113</v>
      </c>
      <c r="J56" s="47">
        <f>((J40)/0.25)/J27</f>
        <v>0.0005750323455694383</v>
      </c>
      <c r="K56" s="53">
        <f>K40/K27</f>
        <v>0.0021832183973926433</v>
      </c>
      <c r="L56" s="52">
        <f>(L40/0.75)/L27</f>
        <v>0.002827963569175197</v>
      </c>
      <c r="M56" s="52">
        <f>(M40/0.5)/M27</f>
        <v>0.00395861319918827</v>
      </c>
      <c r="N56" s="41">
        <f>((N40)/0.25)/N27</f>
        <v>0.004093889372590131</v>
      </c>
      <c r="O56" s="47">
        <f>O40/O27</f>
        <v>0.005217942010628631</v>
      </c>
      <c r="P56" s="47">
        <f>P40/P27</f>
        <v>0.006352545225073622</v>
      </c>
    </row>
    <row r="57" spans="1:16" ht="11.25">
      <c r="A57" s="2" t="s">
        <v>50</v>
      </c>
      <c r="B57" s="4"/>
      <c r="C57" s="52">
        <f>+C40/C31</f>
        <v>0.11444237050863276</v>
      </c>
      <c r="D57" s="41">
        <f>(D40/0.75)/D31</f>
        <v>0.13596648713345302</v>
      </c>
      <c r="E57" s="41">
        <f>(E40/0.5)/E31</f>
        <v>0.11115903629305564</v>
      </c>
      <c r="F57" s="42">
        <f>((F40)/0.25)/F31</f>
        <v>0.08901181795323108</v>
      </c>
      <c r="G57" s="52">
        <f>+G40/G31</f>
        <v>0.058190615649073664</v>
      </c>
      <c r="H57" s="52">
        <f>(H40/0.75)/H31</f>
        <v>0.025903470456570397</v>
      </c>
      <c r="I57" s="47">
        <f>(I40/0.5)/I31</f>
        <v>0.018444107766286806</v>
      </c>
      <c r="J57" s="47">
        <f>((J40)/0.25)/J31</f>
        <v>0.012265848943403773</v>
      </c>
      <c r="K57" s="53">
        <f>+K40/K31</f>
        <v>0.056499460625674215</v>
      </c>
      <c r="L57" s="52">
        <f>(L40/0.75)/L31</f>
        <v>0.06542056074766354</v>
      </c>
      <c r="M57" s="52">
        <f>(M40/0.5)/M31</f>
        <v>0.07781991852788313</v>
      </c>
      <c r="N57" s="41">
        <f>((N40)/0.25)/N31</f>
        <v>0.08327309527251699</v>
      </c>
      <c r="O57" s="47">
        <f>O40/O31</f>
        <v>0.11098909144154037</v>
      </c>
      <c r="P57" s="47">
        <f>P40/P31</f>
        <v>0.037398454527442046</v>
      </c>
    </row>
    <row r="58" spans="1:16" ht="11.25">
      <c r="A58" s="2" t="s">
        <v>51</v>
      </c>
      <c r="B58" s="4"/>
      <c r="C58" s="52">
        <f>C33/C28</f>
        <v>0.08990640705407926</v>
      </c>
      <c r="D58" s="41">
        <f>(D33/0.75)/D28</f>
        <v>0.08280109360783744</v>
      </c>
      <c r="E58" s="41">
        <f>(E33/0.5)/E28</f>
        <v>0.08057003229499513</v>
      </c>
      <c r="F58" s="42">
        <f>((F33)/0.25)/F28</f>
        <v>0.07507226207044214</v>
      </c>
      <c r="G58" s="52">
        <f>G33/G28</f>
        <v>0.08668395052352135</v>
      </c>
      <c r="H58" s="52">
        <f>(H33/0.75)/H28</f>
        <v>0.07900599828620394</v>
      </c>
      <c r="I58" s="47">
        <f>(I33/0.5)/I28</f>
        <v>0.0919693870065937</v>
      </c>
      <c r="J58" s="47">
        <f>((J33)/0.25)/J28</f>
        <v>0.07910164313434068</v>
      </c>
      <c r="K58" s="53">
        <f>K33/K28</f>
        <v>0.052118039029033794</v>
      </c>
      <c r="L58" s="52">
        <f>(L33/0.75)/L28</f>
        <v>0.05307704257418307</v>
      </c>
      <c r="M58" s="52">
        <f>(M33/0.5)/M28</f>
        <v>0.06673172916933316</v>
      </c>
      <c r="N58" s="41">
        <f>((N33)/0.25)/N28</f>
        <v>0.07974784022688214</v>
      </c>
      <c r="O58" s="47">
        <f>O33/O28</f>
        <v>0.06380626636890409</v>
      </c>
      <c r="P58" s="47">
        <f>P33/P27</f>
        <v>0.029558266722759782</v>
      </c>
    </row>
    <row r="59" spans="1:16" ht="11.25">
      <c r="A59" s="2" t="s">
        <v>52</v>
      </c>
      <c r="B59" s="4"/>
      <c r="C59" s="52">
        <f>C34/C28</f>
        <v>0.079734569201601</v>
      </c>
      <c r="D59" s="41">
        <f>(D34/0.75)/D28</f>
        <v>0.07272424640140716</v>
      </c>
      <c r="E59" s="41">
        <f>(E34/0.5)/E28</f>
        <v>0.07184867487996173</v>
      </c>
      <c r="F59" s="42">
        <f>((F34)/0.25)/F28</f>
        <v>0.06755165399850123</v>
      </c>
      <c r="G59" s="52">
        <f>G34/G28</f>
        <v>0.08075312507551619</v>
      </c>
      <c r="H59" s="52">
        <f>(H34/0.75)/H28</f>
        <v>0.07460725506998</v>
      </c>
      <c r="I59" s="47">
        <f>(I34/0.5)/I28</f>
        <v>0.08729104349881411</v>
      </c>
      <c r="J59" s="47">
        <f>((J34)/0.25)/J28</f>
        <v>0.0752208735859962</v>
      </c>
      <c r="K59" s="53">
        <f>K34/K28</f>
        <v>0.047511389134425784</v>
      </c>
      <c r="L59" s="52">
        <f>(L34/0.75)/L28</f>
        <v>0.04762860061665335</v>
      </c>
      <c r="M59" s="52">
        <f>(M34/0.5)/M28</f>
        <v>0.05890822987328811</v>
      </c>
      <c r="N59" s="41">
        <f>((N34)/0.25)/N28</f>
        <v>0.07133223899690966</v>
      </c>
      <c r="O59" s="47">
        <f>O34/O28</f>
        <v>0.055029195076530424</v>
      </c>
      <c r="P59" s="47">
        <f>P34/P27</f>
        <v>0.019469920067311738</v>
      </c>
    </row>
    <row r="60" spans="1:16" ht="11.25">
      <c r="A60" s="2" t="s">
        <v>53</v>
      </c>
      <c r="B60" s="4"/>
      <c r="C60" s="52">
        <f>C35/C28</f>
        <v>0.010171837852478258</v>
      </c>
      <c r="D60" s="41">
        <f>(D35/0.75)/D28</f>
        <v>0.010076847206430288</v>
      </c>
      <c r="E60" s="41">
        <f>(E35/0.5)/E28</f>
        <v>0.008721357415033406</v>
      </c>
      <c r="F60" s="42">
        <f>((F35)/0.25)/F28</f>
        <v>0.007520608071940905</v>
      </c>
      <c r="G60" s="52">
        <f>G35/G28</f>
        <v>0.005930825448005164</v>
      </c>
      <c r="H60" s="52">
        <f>(H35/0.75)/H28</f>
        <v>0.004398743216223936</v>
      </c>
      <c r="I60" s="47">
        <f>(I35/0.5)/I28</f>
        <v>0.00467834350777958</v>
      </c>
      <c r="J60" s="47">
        <f>((J35)/0.25)/J28</f>
        <v>0.00388076954834448</v>
      </c>
      <c r="K60" s="53">
        <f>K35/K28</f>
        <v>0.00460664989460801</v>
      </c>
      <c r="L60" s="52">
        <f>(L35/0.75)/L28</f>
        <v>0.005448441957529724</v>
      </c>
      <c r="M60" s="52">
        <f>(M35/0.5)/M28</f>
        <v>0.007823499296045052</v>
      </c>
      <c r="N60" s="41">
        <f>((N35)/0.25)/N28</f>
        <v>0.008415601229972487</v>
      </c>
      <c r="O60" s="47">
        <f>O35/O28</f>
        <v>0.008777071292373668</v>
      </c>
      <c r="P60" s="47">
        <f>P35/P27</f>
        <v>0.010088346655448045</v>
      </c>
    </row>
    <row r="61" spans="1:16" ht="11.25">
      <c r="A61" s="2" t="s">
        <v>54</v>
      </c>
      <c r="B61" s="4"/>
      <c r="C61" s="52">
        <f>C38/C37</f>
        <v>0.2786764705882353</v>
      </c>
      <c r="D61" s="41">
        <f>(D38/0.75)/(D37/0.75)</f>
        <v>0.2433392539964476</v>
      </c>
      <c r="E61" s="41">
        <f>(E38/0.5)/(E37/0.5)</f>
        <v>0.296411856474259</v>
      </c>
      <c r="F61" s="42">
        <f>(F38/0.25)/(F37/0.25)</f>
        <v>0.3701067615658363</v>
      </c>
      <c r="G61" s="52">
        <f>G38/G37</f>
        <v>0.47410817031070196</v>
      </c>
      <c r="H61" s="52">
        <f>(H38/0.75)/(H37/0.75)</f>
        <v>0.6836518046709129</v>
      </c>
      <c r="I61" s="47">
        <f>(I38/0.5)/(I37/0.5)</f>
        <v>0.7619047619047619</v>
      </c>
      <c r="J61" s="47">
        <f>(J38/0.25)/(J37/0.25)</f>
        <v>0.8424657534246576</v>
      </c>
      <c r="K61" s="53">
        <f>K38/K37</f>
        <v>0.48525798525798525</v>
      </c>
      <c r="L61" s="52">
        <f>(L38/0.75)/(L37/0.75)</f>
        <v>0.46072507552870096</v>
      </c>
      <c r="M61" s="52">
        <f>(M38/0.5)/(M37/0.5)</f>
        <v>0.4335378323108384</v>
      </c>
      <c r="N61" s="41">
        <f>(N38/0.25)/(N37/0.25)</f>
        <v>0.4725274725274725</v>
      </c>
      <c r="O61" s="47">
        <f>O38/O37</f>
        <v>0.36141533277169335</v>
      </c>
      <c r="P61" s="47">
        <f>P38/P37</f>
        <v>0.37706270627062705</v>
      </c>
    </row>
    <row r="62" spans="1:16" ht="11.25">
      <c r="A62" s="3" t="s">
        <v>55</v>
      </c>
      <c r="B62" s="3"/>
      <c r="C62" s="54">
        <f>C36/C28</f>
        <v>6.018838965963466E-05</v>
      </c>
      <c r="D62" s="43">
        <f>(D36/0.75)/D28</f>
        <v>5.398311003444797E-05</v>
      </c>
      <c r="E62" s="43">
        <f>(E36/0.5)/E28</f>
        <v>4.100951762554893E-05</v>
      </c>
      <c r="F62" s="44">
        <f>(F36/0.25)/F28</f>
        <v>0</v>
      </c>
      <c r="G62" s="54">
        <f>G36/G28</f>
        <v>6.904336959260959E-05</v>
      </c>
      <c r="H62" s="54">
        <f>(H36/0.75)/H28</f>
        <v>8.568980291345329E-05</v>
      </c>
      <c r="I62" s="43">
        <f>(I36/0.5)/I28</f>
        <v>0.00011410593921413609</v>
      </c>
      <c r="J62" s="43">
        <f>(J36/0.25)/J28</f>
        <v>0.00013761594143065533</v>
      </c>
      <c r="K62" s="55">
        <f>K36/K28</f>
        <v>5.666236032728179E-06</v>
      </c>
      <c r="L62" s="54">
        <f>(L36/0.75)/L28</f>
        <v>0</v>
      </c>
      <c r="M62" s="54">
        <f>(M36/0.5)/M28</f>
        <v>0</v>
      </c>
      <c r="N62" s="43">
        <f>(N36/0.25)/N28</f>
        <v>0</v>
      </c>
      <c r="O62" s="43">
        <f>O36/O28</f>
        <v>2.967733319483911E-05</v>
      </c>
      <c r="P62" s="43">
        <f>P36/P27</f>
        <v>0.00010938157341186369</v>
      </c>
    </row>
    <row r="63" spans="1:14" ht="11.25">
      <c r="A63" s="11" t="s">
        <v>56</v>
      </c>
      <c r="E63" s="18"/>
      <c r="F63" s="27"/>
      <c r="K63" s="29"/>
      <c r="L63" s="4"/>
      <c r="M63" s="4"/>
      <c r="N63" s="4"/>
    </row>
    <row r="64" spans="1:16" ht="11.25">
      <c r="A64" s="2" t="s">
        <v>57</v>
      </c>
      <c r="C64" s="2">
        <v>7</v>
      </c>
      <c r="D64" s="17">
        <v>7</v>
      </c>
      <c r="E64" s="18">
        <v>7</v>
      </c>
      <c r="F64" s="27">
        <v>7</v>
      </c>
      <c r="G64" s="2">
        <v>8</v>
      </c>
      <c r="H64" s="17">
        <v>8</v>
      </c>
      <c r="I64" s="17">
        <v>8</v>
      </c>
      <c r="J64" s="2">
        <v>8</v>
      </c>
      <c r="K64" s="20">
        <f>7+1</f>
        <v>8</v>
      </c>
      <c r="L64" s="18">
        <v>9</v>
      </c>
      <c r="M64" s="18">
        <v>9</v>
      </c>
      <c r="N64" s="18">
        <v>10</v>
      </c>
      <c r="O64" s="17">
        <v>9</v>
      </c>
      <c r="P64" s="17">
        <v>9</v>
      </c>
    </row>
    <row r="65" spans="1:16" ht="11.25">
      <c r="A65" s="2" t="s">
        <v>58</v>
      </c>
      <c r="C65" s="2">
        <v>1</v>
      </c>
      <c r="D65" s="17">
        <v>1</v>
      </c>
      <c r="E65" s="18">
        <v>1</v>
      </c>
      <c r="F65" s="27">
        <v>1</v>
      </c>
      <c r="G65" s="2">
        <v>1</v>
      </c>
      <c r="H65" s="17">
        <v>1</v>
      </c>
      <c r="I65" s="17">
        <v>1</v>
      </c>
      <c r="J65" s="2">
        <v>1</v>
      </c>
      <c r="K65" s="20">
        <v>1</v>
      </c>
      <c r="L65" s="18">
        <v>1</v>
      </c>
      <c r="M65" s="18">
        <v>1</v>
      </c>
      <c r="N65" s="18">
        <v>1</v>
      </c>
      <c r="O65" s="17">
        <v>1</v>
      </c>
      <c r="P65" s="17">
        <v>1</v>
      </c>
    </row>
    <row r="66" spans="1:16" ht="11.25">
      <c r="A66" s="2" t="s">
        <v>59</v>
      </c>
      <c r="C66" s="18">
        <f aca="true" t="shared" si="19" ref="C66:P66">C12/C64</f>
        <v>18063.285714285714</v>
      </c>
      <c r="D66" s="18">
        <f t="shared" si="19"/>
        <v>21028</v>
      </c>
      <c r="E66" s="18">
        <f t="shared" si="19"/>
        <v>18917.428571428572</v>
      </c>
      <c r="F66" s="19">
        <f t="shared" si="19"/>
        <v>19803.571428571428</v>
      </c>
      <c r="G66" s="17">
        <f t="shared" si="19"/>
        <v>17423.625</v>
      </c>
      <c r="H66" s="17">
        <f t="shared" si="19"/>
        <v>18649.125</v>
      </c>
      <c r="I66" s="17">
        <f t="shared" si="19"/>
        <v>20024.125</v>
      </c>
      <c r="J66" s="17">
        <f t="shared" si="19"/>
        <v>20035.875</v>
      </c>
      <c r="K66" s="20">
        <f t="shared" si="19"/>
        <v>18785.5</v>
      </c>
      <c r="L66" s="18">
        <f t="shared" si="19"/>
        <v>14543</v>
      </c>
      <c r="M66" s="18">
        <f t="shared" si="19"/>
        <v>9465.888888888889</v>
      </c>
      <c r="N66" s="18">
        <f t="shared" si="19"/>
        <v>13037.7</v>
      </c>
      <c r="O66" s="17">
        <f t="shared" si="19"/>
        <v>22520.444444444445</v>
      </c>
      <c r="P66" s="17">
        <f t="shared" si="19"/>
        <v>7431.333333333333</v>
      </c>
    </row>
    <row r="67" spans="1:16" ht="11.25">
      <c r="A67" s="2" t="s">
        <v>60</v>
      </c>
      <c r="C67" s="18">
        <f aca="true" t="shared" si="20" ref="C67:P67">+C16/C64</f>
        <v>28643.285714285714</v>
      </c>
      <c r="D67" s="18">
        <f t="shared" si="20"/>
        <v>28278.14285714286</v>
      </c>
      <c r="E67" s="18">
        <f t="shared" si="20"/>
        <v>30017</v>
      </c>
      <c r="F67" s="19">
        <f t="shared" si="20"/>
        <v>25699.14285714286</v>
      </c>
      <c r="G67" s="17">
        <f t="shared" si="20"/>
        <v>19709.625</v>
      </c>
      <c r="H67" s="17">
        <f t="shared" si="20"/>
        <v>134</v>
      </c>
      <c r="I67" s="17">
        <f t="shared" si="20"/>
        <v>134.25</v>
      </c>
      <c r="J67" s="17">
        <f t="shared" si="20"/>
        <v>147.25</v>
      </c>
      <c r="K67" s="20">
        <f t="shared" si="20"/>
        <v>2739</v>
      </c>
      <c r="L67" s="18">
        <f t="shared" si="20"/>
        <v>2414.777777777778</v>
      </c>
      <c r="M67" s="18">
        <f t="shared" si="20"/>
        <v>2432.1111111111113</v>
      </c>
      <c r="N67" s="18">
        <f t="shared" si="20"/>
        <v>5314.6</v>
      </c>
      <c r="O67" s="17">
        <f t="shared" si="20"/>
        <v>6002.777777777777</v>
      </c>
      <c r="P67" s="17">
        <f t="shared" si="20"/>
        <v>6181.666666666667</v>
      </c>
    </row>
    <row r="68" spans="1:16" ht="11.25">
      <c r="A68" s="3" t="s">
        <v>61</v>
      </c>
      <c r="B68" s="3"/>
      <c r="C68" s="24">
        <f aca="true" t="shared" si="21" ref="C68:P68">+C40/C64</f>
        <v>140.14285714285714</v>
      </c>
      <c r="D68" s="24">
        <f t="shared" si="21"/>
        <v>121.71428571428571</v>
      </c>
      <c r="E68" s="24">
        <f t="shared" si="21"/>
        <v>64.42857142857143</v>
      </c>
      <c r="F68" s="25">
        <f t="shared" si="21"/>
        <v>25.285714285714285</v>
      </c>
      <c r="G68" s="24">
        <f t="shared" si="21"/>
        <v>57.125</v>
      </c>
      <c r="H68" s="24">
        <f t="shared" si="21"/>
        <v>18.625</v>
      </c>
      <c r="I68" s="24">
        <f t="shared" si="21"/>
        <v>8.75</v>
      </c>
      <c r="J68" s="24">
        <f t="shared" si="21"/>
        <v>2.875</v>
      </c>
      <c r="K68" s="26">
        <f t="shared" si="21"/>
        <v>52.375</v>
      </c>
      <c r="L68" s="24">
        <f t="shared" si="21"/>
        <v>39.666666666666664</v>
      </c>
      <c r="M68" s="24">
        <f t="shared" si="21"/>
        <v>30.77777777777778</v>
      </c>
      <c r="N68" s="24">
        <f t="shared" si="21"/>
        <v>14.4</v>
      </c>
      <c r="O68" s="24">
        <f t="shared" si="21"/>
        <v>84.22222222222223</v>
      </c>
      <c r="P68" s="24">
        <f t="shared" si="21"/>
        <v>83.88888888888889</v>
      </c>
    </row>
    <row r="69" spans="1:14" ht="11.25">
      <c r="A69" s="11" t="s">
        <v>62</v>
      </c>
      <c r="E69" s="18"/>
      <c r="F69" s="27"/>
      <c r="K69" s="29"/>
      <c r="L69" s="4"/>
      <c r="M69" s="4"/>
      <c r="N69" s="4"/>
    </row>
    <row r="70" spans="1:16" ht="11.25">
      <c r="A70" s="2" t="s">
        <v>63</v>
      </c>
      <c r="C70" s="41">
        <f aca="true" t="shared" si="22" ref="C70:I70">(C10/G10)-1</f>
        <v>0.08432962657213627</v>
      </c>
      <c r="D70" s="41">
        <f t="shared" si="22"/>
        <v>1.125416883395037</v>
      </c>
      <c r="E70" s="41">
        <f t="shared" si="22"/>
        <v>1.0485526533264182</v>
      </c>
      <c r="F70" s="42">
        <f t="shared" si="22"/>
        <v>0.8677096070252213</v>
      </c>
      <c r="G70" s="47">
        <f t="shared" si="22"/>
        <v>0.8999569442735884</v>
      </c>
      <c r="H70" s="47">
        <f t="shared" si="22"/>
        <v>0.15840475228434303</v>
      </c>
      <c r="I70" s="47">
        <f t="shared" si="22"/>
        <v>0.9442733034883206</v>
      </c>
      <c r="J70" s="47">
        <f>+(J10/N10)-1</f>
        <v>0.14673778135587545</v>
      </c>
      <c r="K70" s="48">
        <f>+(K10/O10)-1</f>
        <v>-0.26519838920350547</v>
      </c>
      <c r="L70" s="41">
        <f>+(L10/195569)-1</f>
        <v>-0.27867402297910204</v>
      </c>
      <c r="M70" s="41">
        <f>+(M10/189652)-1</f>
        <v>-0.5241600404952229</v>
      </c>
      <c r="N70" s="41">
        <f>+(N10/132340)-1</f>
        <v>0.12630346078283217</v>
      </c>
      <c r="O70" s="47">
        <f>+(O10/P10)-1</f>
        <v>2.193709493497308</v>
      </c>
      <c r="P70" s="47">
        <f>(P10/168421)-1</f>
        <v>-0.5886558089549403</v>
      </c>
    </row>
    <row r="71" spans="1:16" ht="11.25">
      <c r="A71" s="2" t="s">
        <v>64</v>
      </c>
      <c r="C71" s="41">
        <f aca="true" t="shared" si="23" ref="C71:I71">(C12/G12)-1</f>
        <v>-0.09287676932900013</v>
      </c>
      <c r="D71" s="41">
        <f t="shared" si="23"/>
        <v>-0.013385346497489792</v>
      </c>
      <c r="E71" s="41">
        <f t="shared" si="23"/>
        <v>-0.17335963494035322</v>
      </c>
      <c r="F71" s="42">
        <f t="shared" si="23"/>
        <v>-0.13514508350646026</v>
      </c>
      <c r="G71" s="47">
        <f t="shared" si="23"/>
        <v>-0.0724960740997046</v>
      </c>
      <c r="H71" s="47">
        <f t="shared" si="23"/>
        <v>0.13986110156088838</v>
      </c>
      <c r="I71" s="47">
        <f t="shared" si="23"/>
        <v>0.8803540196964539</v>
      </c>
      <c r="J71" s="47">
        <f aca="true" t="shared" si="24" ref="J71:P71">SUM(J72:J73)</f>
        <v>0.22941162935180293</v>
      </c>
      <c r="K71" s="48">
        <f t="shared" si="24"/>
        <v>-0.2585305204160171</v>
      </c>
      <c r="L71" s="41">
        <f t="shared" si="24"/>
        <v>-0.3073919048349799</v>
      </c>
      <c r="M71" s="41">
        <f t="shared" si="24"/>
        <v>-0.4730764473033152</v>
      </c>
      <c r="N71" s="41">
        <f t="shared" si="24"/>
        <v>0.009570934095291195</v>
      </c>
      <c r="O71" s="47">
        <f t="shared" si="24"/>
        <v>2.0304715768069137</v>
      </c>
      <c r="P71" s="47">
        <f t="shared" si="24"/>
        <v>-0.491685413753268</v>
      </c>
    </row>
    <row r="72" spans="2:16" ht="11.25">
      <c r="B72" s="2" t="s">
        <v>15</v>
      </c>
      <c r="C72" s="41">
        <v>0</v>
      </c>
      <c r="D72" s="41">
        <v>0</v>
      </c>
      <c r="E72" s="41">
        <v>0</v>
      </c>
      <c r="F72" s="42">
        <v>0</v>
      </c>
      <c r="G72" s="47">
        <v>0</v>
      </c>
      <c r="H72" s="47">
        <v>0</v>
      </c>
      <c r="I72" s="47">
        <v>0</v>
      </c>
      <c r="J72" s="47">
        <v>0</v>
      </c>
      <c r="K72" s="48">
        <v>0</v>
      </c>
      <c r="L72" s="41">
        <v>0</v>
      </c>
      <c r="M72" s="41">
        <v>0</v>
      </c>
      <c r="N72" s="41">
        <v>0</v>
      </c>
      <c r="O72" s="47">
        <v>0</v>
      </c>
      <c r="P72" s="47">
        <v>0</v>
      </c>
    </row>
    <row r="73" spans="2:16" ht="11.25">
      <c r="B73" s="2" t="s">
        <v>16</v>
      </c>
      <c r="C73" s="41">
        <f aca="true" t="shared" si="25" ref="C73:I73">(C14/G14)-1</f>
        <v>-0.09287676932900013</v>
      </c>
      <c r="D73" s="41">
        <f t="shared" si="25"/>
        <v>-0.013385346497489792</v>
      </c>
      <c r="E73" s="41">
        <f t="shared" si="25"/>
        <v>-0.17335963494035322</v>
      </c>
      <c r="F73" s="42">
        <f t="shared" si="25"/>
        <v>-0.13514508350646026</v>
      </c>
      <c r="G73" s="47">
        <f t="shared" si="25"/>
        <v>-0.0724960740997046</v>
      </c>
      <c r="H73" s="47">
        <f t="shared" si="25"/>
        <v>0.13986110156088838</v>
      </c>
      <c r="I73" s="47">
        <f t="shared" si="25"/>
        <v>0.8803540196964539</v>
      </c>
      <c r="J73" s="47">
        <f>+(J14/N14)-1</f>
        <v>0.22941162935180293</v>
      </c>
      <c r="K73" s="48">
        <f>+(K14/O14)-1</f>
        <v>-0.2585305204160171</v>
      </c>
      <c r="L73" s="41">
        <f>+(L14/188977)-1</f>
        <v>-0.3073919048349799</v>
      </c>
      <c r="M73" s="41">
        <f>+(M14/161680)-1</f>
        <v>-0.4730764473033152</v>
      </c>
      <c r="N73" s="41">
        <f>+(N14/129141)-1</f>
        <v>0.009570934095291195</v>
      </c>
      <c r="O73" s="47">
        <f>+(O14/P14)-1</f>
        <v>2.0304715768069137</v>
      </c>
      <c r="P73" s="47">
        <f>+(P14/131576)-1</f>
        <v>-0.491685413753268</v>
      </c>
    </row>
    <row r="74" spans="1:16" ht="11.25">
      <c r="A74" s="2" t="s">
        <v>65</v>
      </c>
      <c r="C74" s="41">
        <f aca="true" t="shared" si="26" ref="C74:I74">(C16/G16)-1</f>
        <v>0.27160587783887324</v>
      </c>
      <c r="D74" s="41">
        <f t="shared" si="26"/>
        <v>183.65205223880596</v>
      </c>
      <c r="E74" s="41">
        <f t="shared" si="26"/>
        <v>194.6415270018622</v>
      </c>
      <c r="F74" s="42">
        <f t="shared" si="26"/>
        <v>151.7113752122241</v>
      </c>
      <c r="G74" s="47">
        <f t="shared" si="26"/>
        <v>6.19592004381161</v>
      </c>
      <c r="H74" s="47">
        <f t="shared" si="26"/>
        <v>-0.9506740900934063</v>
      </c>
      <c r="I74" s="47">
        <f t="shared" si="26"/>
        <v>-0.9509342592169583</v>
      </c>
      <c r="J74" s="47">
        <f aca="true" t="shared" si="27" ref="J74:P74">SUM(J75:J76)</f>
        <v>-0.9778346441877094</v>
      </c>
      <c r="K74" s="48">
        <f t="shared" si="27"/>
        <v>-0.5944099953725127</v>
      </c>
      <c r="L74" s="41">
        <f t="shared" si="27"/>
        <v>-0.6310562591247071</v>
      </c>
      <c r="M74" s="41">
        <f t="shared" si="27"/>
        <v>-0.6590657757425665</v>
      </c>
      <c r="N74" s="41">
        <f t="shared" si="27"/>
        <v>-0.0648084604691267</v>
      </c>
      <c r="O74" s="47">
        <f t="shared" si="27"/>
        <v>-0.028938617776579467</v>
      </c>
      <c r="P74" s="47">
        <f t="shared" si="27"/>
        <v>-0.5785993455735321</v>
      </c>
    </row>
    <row r="75" spans="2:16" ht="11.25">
      <c r="B75" s="2" t="s">
        <v>15</v>
      </c>
      <c r="C75" s="41">
        <v>0</v>
      </c>
      <c r="D75" s="41">
        <v>0</v>
      </c>
      <c r="E75" s="41">
        <v>0</v>
      </c>
      <c r="F75" s="42">
        <v>0</v>
      </c>
      <c r="G75" s="47">
        <v>0</v>
      </c>
      <c r="H75" s="47">
        <v>0</v>
      </c>
      <c r="I75" s="47">
        <v>0</v>
      </c>
      <c r="J75" s="47">
        <v>0</v>
      </c>
      <c r="K75" s="48">
        <v>0</v>
      </c>
      <c r="L75" s="41">
        <v>0</v>
      </c>
      <c r="M75" s="41">
        <v>0</v>
      </c>
      <c r="N75" s="41">
        <v>0</v>
      </c>
      <c r="O75" s="47">
        <v>0</v>
      </c>
      <c r="P75" s="47">
        <v>0</v>
      </c>
    </row>
    <row r="76" spans="2:16" ht="11.25">
      <c r="B76" s="2" t="s">
        <v>16</v>
      </c>
      <c r="C76" s="41">
        <f aca="true" t="shared" si="28" ref="C76:I76">(C21/G21)-1</f>
        <v>0.27160587783887324</v>
      </c>
      <c r="D76" s="41">
        <f t="shared" si="28"/>
        <v>183.65205223880596</v>
      </c>
      <c r="E76" s="41">
        <f t="shared" si="28"/>
        <v>194.6415270018622</v>
      </c>
      <c r="F76" s="42">
        <f t="shared" si="28"/>
        <v>144.07130730050935</v>
      </c>
      <c r="G76" s="47">
        <f t="shared" si="28"/>
        <v>6.19592004381161</v>
      </c>
      <c r="H76" s="47">
        <f t="shared" si="28"/>
        <v>-0.9506740900934063</v>
      </c>
      <c r="I76" s="47">
        <f t="shared" si="28"/>
        <v>-0.9509342592169583</v>
      </c>
      <c r="J76" s="47">
        <f>+(J21/N21)-1</f>
        <v>-0.9778346441877094</v>
      </c>
      <c r="K76" s="48">
        <f>+(K21/O21)-1</f>
        <v>-0.5944099953725127</v>
      </c>
      <c r="L76" s="41">
        <f>+(L21/58906)-1</f>
        <v>-0.6310562591247071</v>
      </c>
      <c r="M76" s="41">
        <f>+(M21/64203)-1</f>
        <v>-0.6590657757425665</v>
      </c>
      <c r="N76" s="41">
        <f>+(N21/56829)-1</f>
        <v>-0.0648084604691267</v>
      </c>
      <c r="O76" s="47">
        <f>+(O21/P21)-1</f>
        <v>-0.028938617776579467</v>
      </c>
      <c r="P76" s="47">
        <f>+(P21/132024)-1</f>
        <v>-0.5785993455735321</v>
      </c>
    </row>
    <row r="77" spans="1:16" ht="11.25">
      <c r="A77" s="2" t="s">
        <v>66</v>
      </c>
      <c r="C77" s="41">
        <f aca="true" t="shared" si="29" ref="C77:I77">(C25/G25)-1</f>
        <v>0.12125711457560007</v>
      </c>
      <c r="D77" s="41">
        <f t="shared" si="29"/>
        <v>0.14919614147909965</v>
      </c>
      <c r="E77" s="41">
        <f t="shared" si="29"/>
        <v>0.10875779625779636</v>
      </c>
      <c r="F77" s="42">
        <f t="shared" si="29"/>
        <v>0.08002092050209209</v>
      </c>
      <c r="G77" s="47">
        <f t="shared" si="29"/>
        <v>0.059934426229508286</v>
      </c>
      <c r="H77" s="47">
        <f t="shared" si="29"/>
        <v>0.027895293495505014</v>
      </c>
      <c r="I77" s="47">
        <f t="shared" si="29"/>
        <v>0.02818971275885107</v>
      </c>
      <c r="J77" s="41">
        <f>+(J25/N25)-1</f>
        <v>0.040119679042567746</v>
      </c>
      <c r="K77" s="48">
        <f>+(K25/O25)-1</f>
        <v>0.05799916747606493</v>
      </c>
      <c r="L77" s="41">
        <f>+(L25/6988)-1</f>
        <v>0.08242701774470529</v>
      </c>
      <c r="M77" s="41">
        <f>+(M25/6753)-1</f>
        <v>0.1083962683251889</v>
      </c>
      <c r="N77" s="41">
        <f>+(N25/6481)-1</f>
        <v>0.1345471377873786</v>
      </c>
      <c r="O77" s="47">
        <f>+(O25/P25)-1</f>
        <v>0.11701797892126464</v>
      </c>
      <c r="P77" s="41">
        <f>(P25/33924)-1</f>
        <v>-0.809810163895767</v>
      </c>
    </row>
    <row r="78" spans="1:16" ht="11.25">
      <c r="A78" s="3" t="s">
        <v>67</v>
      </c>
      <c r="B78" s="3"/>
      <c r="C78" s="43">
        <f aca="true" t="shared" si="30" ref="C78:I78">(C40/G40)-1</f>
        <v>1.1466083150984683</v>
      </c>
      <c r="D78" s="43">
        <f t="shared" si="30"/>
        <v>4.718120805369128</v>
      </c>
      <c r="E78" s="43">
        <f t="shared" si="30"/>
        <v>5.442857142857143</v>
      </c>
      <c r="F78" s="44">
        <f t="shared" si="30"/>
        <v>6.695652173913044</v>
      </c>
      <c r="G78" s="43">
        <f t="shared" si="30"/>
        <v>0.09069212410501204</v>
      </c>
      <c r="H78" s="43">
        <f t="shared" si="30"/>
        <v>-0.5826330532212884</v>
      </c>
      <c r="I78" s="43">
        <f t="shared" si="30"/>
        <v>-0.7472924187725631</v>
      </c>
      <c r="J78" s="43">
        <f>+(J40/N40)-1</f>
        <v>-0.8402777777777778</v>
      </c>
      <c r="K78" s="51">
        <f>+(K40/O40)-1</f>
        <v>-0.44722955145118737</v>
      </c>
      <c r="L78" s="43">
        <f>+(L40/538)-1</f>
        <v>-0.3364312267657993</v>
      </c>
      <c r="M78" s="43">
        <f>+(M40/300)-1</f>
        <v>-0.07666666666666666</v>
      </c>
      <c r="N78" s="43">
        <f>+(N40/30)-1</f>
        <v>3.8</v>
      </c>
      <c r="O78" s="43">
        <f>+(O40/P40)-1</f>
        <v>0.003973509933774766</v>
      </c>
      <c r="P78" s="43">
        <f>+(P40/1672)-1</f>
        <v>-0.5484449760765551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2017-06-16T17:19:08Z</dcterms:created>
  <dcterms:modified xsi:type="dcterms:W3CDTF">2017-06-16T17:19:11Z</dcterms:modified>
  <cp:category/>
  <cp:version/>
  <cp:contentType/>
  <cp:contentStatus/>
</cp:coreProperties>
</file>