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Gnb (Lic Int)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<sst xmlns="http://schemas.openxmlformats.org/spreadsheetml/2006/main" count="89" uniqueCount="68">
  <si>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19-7</t>
  </si>
  <si>
    <t>GNB BANK (PANAMA), S.A.</t>
  </si>
  <si>
    <t>ESTADISTICA FINANCIERA. TRIMESTRES  2000, 2001 Y 2002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</si>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</sst>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6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/.&quot;\ #,##0;&quot;B/.&quot;\ \-#,##0"/>
    <numFmt numFmtId="187" formatCode="&quot;B/.&quot;\ #,##0;[Red]&quot;B/.&quot;\ \-#,##0"/>
    <numFmt numFmtId="188" formatCode="&quot;B/.&quot;\ #,##0.00;&quot;B/.&quot;\ \-#,##0.00"/>
    <numFmt numFmtId="189" formatCode="&quot;B/.&quot;\ #,##0.00;[Red]&quot;B/.&quot;\ \-#,##0.00"/>
    <numFmt numFmtId="190" formatCode="_ &quot;B/.&quot;\ * #,##0_ ;_ &quot;B/.&quot;\ * \-#,##0_ ;_ &quot;B/.&quot;\ * &quot;-&quot;_ ;_ @_ "/>
    <numFmt numFmtId="191" formatCode="_ * #,##0_ ;_ * \-#,##0_ ;_ * &quot;-&quot;_ ;_ @_ "/>
    <numFmt numFmtId="192" formatCode="_ &quot;B/.&quot;\ * #,##0.00_ ;_ &quot;B/.&quot;\ * \-#,##0.00_ ;_ &quot;B/.&quot;\ * &quot;-&quot;??_ ;_ @_ "/>
    <numFmt numFmtId="193" formatCode="_ * #,##0.00_ ;_ * \-#,##0.00_ ;_ * &quot;-&quot;??_ ;_ @_ 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0.0"/>
    <numFmt numFmtId="204" formatCode="0.0%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_(* #,##0.0000_);_(* \(#,##0.0000\);_(* &quot;-&quot;??_);_(@_)"/>
    <numFmt numFmtId="212" formatCode="0.000%"/>
    <numFmt numFmtId="213" formatCode="0_ ;\-0\ "/>
    <numFmt numFmtId="214" formatCode="_(* #,##0.00000_);_(* \(#,##0.00000\);_(* &quot;-&quot;??_);_(@_)"/>
    <numFmt numFmtId="215" formatCode="#,##0.0"/>
  </numFmts>
  <fonts count="38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201" fontId="2" fillId="0" borderId="0" xfId="46" applyNumberFormat="1" applyFont="1" applyAlignment="1">
      <alignment/>
    </xf>
    <xf numFmtId="201" fontId="2" fillId="0" borderId="16" xfId="46" applyNumberFormat="1" applyFont="1" applyBorder="1" applyAlignment="1">
      <alignment/>
    </xf>
    <xf numFmtId="201" fontId="2" fillId="0" borderId="0" xfId="46" applyNumberFormat="1" applyFont="1" applyBorder="1" applyAlignment="1">
      <alignment/>
    </xf>
    <xf numFmtId="201" fontId="3" fillId="0" borderId="0" xfId="46" applyNumberFormat="1" applyFont="1" applyAlignment="1">
      <alignment/>
    </xf>
    <xf numFmtId="201" fontId="3" fillId="0" borderId="0" xfId="46" applyNumberFormat="1" applyFont="1" applyBorder="1" applyAlignment="1">
      <alignment/>
    </xf>
    <xf numFmtId="201" fontId="3" fillId="0" borderId="16" xfId="46" applyNumberFormat="1" applyFont="1" applyBorder="1" applyAlignment="1">
      <alignment/>
    </xf>
    <xf numFmtId="43" fontId="3" fillId="0" borderId="0" xfId="46" applyFont="1" applyBorder="1" applyAlignment="1">
      <alignment/>
    </xf>
    <xf numFmtId="43" fontId="3" fillId="0" borderId="16" xfId="46" applyFont="1" applyBorder="1" applyAlignment="1">
      <alignment/>
    </xf>
    <xf numFmtId="43" fontId="3" fillId="0" borderId="0" xfId="46" applyFont="1" applyAlignment="1">
      <alignment/>
    </xf>
    <xf numFmtId="201" fontId="3" fillId="0" borderId="0" xfId="46" applyNumberFormat="1" applyFont="1" applyFill="1" applyAlignment="1">
      <alignment/>
    </xf>
    <xf numFmtId="201" fontId="3" fillId="0" borderId="10" xfId="46" applyNumberFormat="1" applyFont="1" applyBorder="1" applyAlignment="1">
      <alignment/>
    </xf>
    <xf numFmtId="201" fontId="3" fillId="0" borderId="14" xfId="46" applyNumberFormat="1" applyFont="1" applyBorder="1" applyAlignment="1">
      <alignment/>
    </xf>
    <xf numFmtId="0" fontId="3" fillId="0" borderId="17" xfId="0" applyFont="1" applyBorder="1" applyAlignment="1">
      <alignment/>
    </xf>
    <xf numFmtId="201" fontId="3" fillId="0" borderId="17" xfId="46" applyNumberFormat="1" applyFont="1" applyBorder="1" applyAlignment="1">
      <alignment/>
    </xf>
    <xf numFmtId="201" fontId="3" fillId="0" borderId="18" xfId="46" applyNumberFormat="1" applyFont="1" applyBorder="1" applyAlignment="1">
      <alignment/>
    </xf>
    <xf numFmtId="201" fontId="3" fillId="0" borderId="11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5" xfId="0" applyFont="1" applyBorder="1" applyAlignment="1">
      <alignment/>
    </xf>
    <xf numFmtId="43" fontId="3" fillId="0" borderId="17" xfId="46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7" xfId="52" applyNumberFormat="1" applyFont="1" applyBorder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8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0" fontId="3" fillId="0" borderId="19" xfId="0" applyFont="1" applyBorder="1" applyAlignment="1">
      <alignment/>
    </xf>
    <xf numFmtId="10" fontId="3" fillId="0" borderId="0" xfId="52" applyNumberFormat="1" applyFont="1" applyAlignment="1">
      <alignment/>
    </xf>
    <xf numFmtId="204" fontId="3" fillId="0" borderId="17" xfId="52" applyNumberFormat="1" applyFont="1" applyBorder="1" applyAlignment="1">
      <alignment/>
    </xf>
    <xf numFmtId="204" fontId="3" fillId="0" borderId="0" xfId="52" applyNumberFormat="1" applyFont="1" applyAlignment="1">
      <alignment/>
    </xf>
    <xf numFmtId="204" fontId="3" fillId="0" borderId="18" xfId="52" applyNumberFormat="1" applyFont="1" applyBorder="1" applyAlignment="1">
      <alignment/>
    </xf>
    <xf numFmtId="204" fontId="3" fillId="0" borderId="10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10" fontId="3" fillId="0" borderId="0" xfId="52" applyNumberFormat="1" applyFont="1" applyFill="1" applyAlignment="1">
      <alignment/>
    </xf>
    <xf numFmtId="10" fontId="3" fillId="0" borderId="17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4" sqref="C14"/>
    </sheetView>
  </sheetViews>
  <sheetFormatPr defaultColWidth="11.421875" defaultRowHeight="12.75"/>
  <cols>
    <col min="1" max="1" width="2.421875" style="2" customWidth="1"/>
    <col min="2" max="2" width="29.57421875" style="2" customWidth="1"/>
    <col min="3" max="3" width="8.8515625" style="2" customWidth="1"/>
    <col min="4" max="4" width="7.7109375" style="2" bestFit="1" customWidth="1"/>
    <col min="5" max="5" width="7.28125" style="2" customWidth="1"/>
    <col min="6" max="6" width="7.8515625" style="2" customWidth="1"/>
    <col min="7" max="7" width="7.421875" style="2" bestFit="1" customWidth="1"/>
    <col min="8" max="8" width="8.421875" style="2" customWidth="1"/>
    <col min="9" max="9" width="7.8515625" style="2" customWidth="1"/>
    <col min="10" max="10" width="7.421875" style="2" customWidth="1"/>
    <col min="11" max="11" width="7.57421875" style="2" customWidth="1"/>
    <col min="12" max="12" width="8.421875" style="2" customWidth="1"/>
    <col min="13" max="13" width="7.421875" style="2" customWidth="1"/>
    <col min="14" max="14" width="7.7109375" style="2" customWidth="1"/>
    <col min="15" max="15" width="10.57421875" style="2" hidden="1" customWidth="1"/>
    <col min="16" max="16" width="0.13671875" style="2" hidden="1" customWidth="1"/>
    <col min="17" max="18" width="11.421875" style="2" customWidth="1"/>
    <col min="19" max="16384" width="11.421875" style="1" customWidth="1"/>
  </cols>
  <sheetData>
    <row r="1" spans="2:16" ht="11.25">
      <c r="B1" s="53"/>
      <c r="C1" s="53"/>
      <c r="D1" s="53"/>
      <c r="E1" s="53"/>
      <c r="F1" s="53"/>
      <c r="G1" s="53" t="s">
        <v>0</v>
      </c>
      <c r="H1" s="53"/>
      <c r="I1" s="53"/>
      <c r="J1" s="53"/>
      <c r="K1" s="53"/>
      <c r="L1" s="53"/>
      <c r="M1" s="53"/>
      <c r="N1" s="53"/>
      <c r="O1" s="53"/>
      <c r="P1" s="53"/>
    </row>
    <row r="2" spans="2:16" ht="11.25">
      <c r="B2" s="53"/>
      <c r="C2" s="53"/>
      <c r="D2" s="53"/>
      <c r="E2" s="53"/>
      <c r="F2" s="53"/>
      <c r="G2" s="53" t="s">
        <v>1</v>
      </c>
      <c r="H2" s="53"/>
      <c r="I2" s="53"/>
      <c r="J2" s="53"/>
      <c r="K2" s="53"/>
      <c r="L2" s="53"/>
      <c r="M2" s="53"/>
      <c r="N2" s="53"/>
      <c r="O2" s="53"/>
      <c r="P2" s="53"/>
    </row>
    <row r="3" spans="2:16" ht="11.25">
      <c r="B3" s="53"/>
      <c r="C3" s="53"/>
      <c r="D3" s="53"/>
      <c r="E3" s="53"/>
      <c r="F3" s="53"/>
      <c r="G3" s="53" t="s">
        <v>2</v>
      </c>
      <c r="H3" s="53"/>
      <c r="I3" s="53"/>
      <c r="J3" s="53"/>
      <c r="K3" s="53"/>
      <c r="L3" s="53"/>
      <c r="M3" s="53"/>
      <c r="N3" s="53"/>
      <c r="O3" s="53"/>
      <c r="P3" s="53"/>
    </row>
    <row r="4" spans="1:16" ht="11.25">
      <c r="A4" s="1"/>
      <c r="B4" s="52"/>
      <c r="C4" s="52"/>
      <c r="D4" s="52"/>
      <c r="E4" s="52"/>
      <c r="F4" s="52"/>
      <c r="G4" s="52" t="s">
        <v>3</v>
      </c>
      <c r="H4" s="52"/>
      <c r="I4" s="52"/>
      <c r="J4" s="52"/>
      <c r="K4" s="52"/>
      <c r="L4" s="52"/>
      <c r="M4" s="52"/>
      <c r="N4" s="52"/>
      <c r="O4" s="52"/>
      <c r="P4" s="52"/>
    </row>
    <row r="5" spans="1:16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2.75" customHeight="1">
      <c r="A7" s="5"/>
      <c r="B7" s="5"/>
      <c r="C7" s="55">
        <v>2002</v>
      </c>
      <c r="D7" s="55"/>
      <c r="E7" s="55"/>
      <c r="F7" s="56"/>
      <c r="G7" s="55">
        <v>2001</v>
      </c>
      <c r="H7" s="55"/>
      <c r="I7" s="55"/>
      <c r="J7" s="55"/>
      <c r="K7" s="54">
        <v>2000</v>
      </c>
      <c r="L7" s="55"/>
      <c r="M7" s="55"/>
      <c r="N7" s="55"/>
      <c r="O7" s="55" t="s">
        <v>4</v>
      </c>
      <c r="P7" s="55"/>
    </row>
    <row r="8" spans="1:16" ht="11.25">
      <c r="A8" s="6"/>
      <c r="B8" s="6"/>
      <c r="C8" s="7" t="s">
        <v>5</v>
      </c>
      <c r="D8" s="7" t="s">
        <v>6</v>
      </c>
      <c r="E8" s="6" t="s">
        <v>7</v>
      </c>
      <c r="F8" s="8" t="s">
        <v>8</v>
      </c>
      <c r="G8" s="7" t="s">
        <v>5</v>
      </c>
      <c r="H8" s="7" t="s">
        <v>6</v>
      </c>
      <c r="I8" s="6" t="s">
        <v>7</v>
      </c>
      <c r="J8" s="6" t="s">
        <v>8</v>
      </c>
      <c r="K8" s="9" t="s">
        <v>5</v>
      </c>
      <c r="L8" s="6" t="s">
        <v>6</v>
      </c>
      <c r="M8" s="6" t="s">
        <v>7</v>
      </c>
      <c r="N8" s="7" t="s">
        <v>8</v>
      </c>
      <c r="O8" s="10" t="s">
        <v>9</v>
      </c>
      <c r="P8" s="10" t="s">
        <v>10</v>
      </c>
    </row>
    <row r="9" spans="1:16" ht="11.25">
      <c r="A9" s="11" t="s">
        <v>11</v>
      </c>
      <c r="B9" s="11"/>
      <c r="C9" s="11"/>
      <c r="D9" s="11"/>
      <c r="E9" s="12"/>
      <c r="F9" s="12"/>
      <c r="G9" s="13"/>
      <c r="H9" s="11"/>
      <c r="I9" s="11"/>
      <c r="J9" s="14"/>
      <c r="K9" s="15"/>
      <c r="L9" s="16"/>
      <c r="M9" s="16"/>
      <c r="N9" s="16"/>
      <c r="O9" s="14"/>
      <c r="P9" s="14"/>
    </row>
    <row r="10" spans="1:16" ht="11.25">
      <c r="A10" s="2" t="s">
        <v>12</v>
      </c>
      <c r="C10" s="17">
        <v>88450</v>
      </c>
      <c r="D10" s="17">
        <v>89673</v>
      </c>
      <c r="E10" s="18">
        <v>77032</v>
      </c>
      <c r="F10" s="18">
        <v>88601</v>
      </c>
      <c r="G10" s="19">
        <v>87505</v>
      </c>
      <c r="H10" s="17">
        <v>91021</v>
      </c>
      <c r="I10" s="17">
        <v>76494</v>
      </c>
      <c r="J10" s="17">
        <v>64768</v>
      </c>
      <c r="K10" s="19">
        <v>60233</v>
      </c>
      <c r="L10" s="18">
        <v>72643</v>
      </c>
      <c r="M10" s="18">
        <v>73686</v>
      </c>
      <c r="N10" s="18">
        <v>87108</v>
      </c>
      <c r="O10" s="17">
        <v>72134</v>
      </c>
      <c r="P10" s="17">
        <v>93876</v>
      </c>
    </row>
    <row r="11" spans="1:16" ht="11.25">
      <c r="A11" s="2" t="s">
        <v>13</v>
      </c>
      <c r="C11" s="17">
        <v>18888</v>
      </c>
      <c r="D11" s="17">
        <v>3820</v>
      </c>
      <c r="E11" s="18">
        <v>5177</v>
      </c>
      <c r="F11" s="18">
        <v>1388</v>
      </c>
      <c r="G11" s="19">
        <v>10205</v>
      </c>
      <c r="H11" s="17">
        <v>7537</v>
      </c>
      <c r="I11" s="17">
        <v>8482</v>
      </c>
      <c r="J11" s="17">
        <v>7885</v>
      </c>
      <c r="K11" s="19">
        <v>10898</v>
      </c>
      <c r="L11" s="18">
        <v>16454</v>
      </c>
      <c r="M11" s="18">
        <v>24697</v>
      </c>
      <c r="N11" s="18">
        <v>53357</v>
      </c>
      <c r="O11" s="17">
        <v>23312</v>
      </c>
      <c r="P11" s="17">
        <v>24285</v>
      </c>
    </row>
    <row r="12" spans="1:16" ht="11.25">
      <c r="A12" s="2" t="s">
        <v>14</v>
      </c>
      <c r="C12" s="18">
        <f aca="true" t="shared" si="0" ref="C12:P12">C13+C14</f>
        <v>16509</v>
      </c>
      <c r="D12" s="18">
        <f t="shared" si="0"/>
        <v>26188</v>
      </c>
      <c r="E12" s="18">
        <f t="shared" si="0"/>
        <v>17803</v>
      </c>
      <c r="F12" s="18">
        <f t="shared" si="0"/>
        <v>20743</v>
      </c>
      <c r="G12" s="19">
        <f t="shared" si="0"/>
        <v>26760</v>
      </c>
      <c r="H12" s="17">
        <f t="shared" si="0"/>
        <v>16859</v>
      </c>
      <c r="I12" s="17">
        <f t="shared" si="0"/>
        <v>6316</v>
      </c>
      <c r="J12" s="17">
        <f t="shared" si="0"/>
        <v>8808</v>
      </c>
      <c r="K12" s="19">
        <f t="shared" si="0"/>
        <v>11907</v>
      </c>
      <c r="L12" s="18">
        <f t="shared" si="0"/>
        <v>13857</v>
      </c>
      <c r="M12" s="18">
        <f t="shared" si="0"/>
        <v>12462</v>
      </c>
      <c r="N12" s="18">
        <f t="shared" si="0"/>
        <v>2768</v>
      </c>
      <c r="O12" s="17">
        <f t="shared" si="0"/>
        <v>18071</v>
      </c>
      <c r="P12" s="17">
        <f t="shared" si="0"/>
        <v>14285</v>
      </c>
    </row>
    <row r="13" spans="2:16" ht="11.25">
      <c r="B13" s="2" t="s">
        <v>15</v>
      </c>
      <c r="C13" s="18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  <c r="I13" s="17">
        <v>0</v>
      </c>
      <c r="J13" s="17">
        <v>0</v>
      </c>
      <c r="K13" s="19">
        <v>0</v>
      </c>
      <c r="L13" s="18">
        <v>665</v>
      </c>
      <c r="M13" s="18">
        <v>752</v>
      </c>
      <c r="N13" s="18">
        <v>746</v>
      </c>
      <c r="O13" s="17">
        <v>759</v>
      </c>
      <c r="P13" s="17">
        <v>1063</v>
      </c>
    </row>
    <row r="14" spans="2:16" ht="11.25">
      <c r="B14" s="2" t="s">
        <v>16</v>
      </c>
      <c r="C14" s="17">
        <v>16509</v>
      </c>
      <c r="D14" s="17">
        <v>26188</v>
      </c>
      <c r="E14" s="18">
        <v>17803</v>
      </c>
      <c r="F14" s="18">
        <v>20743</v>
      </c>
      <c r="G14" s="19">
        <v>26760</v>
      </c>
      <c r="H14" s="17">
        <v>16859</v>
      </c>
      <c r="I14" s="17">
        <v>6316</v>
      </c>
      <c r="J14" s="17">
        <v>8808</v>
      </c>
      <c r="K14" s="19">
        <v>11907</v>
      </c>
      <c r="L14" s="18">
        <v>13192</v>
      </c>
      <c r="M14" s="18">
        <v>11710</v>
      </c>
      <c r="N14" s="18">
        <v>2022</v>
      </c>
      <c r="O14" s="17">
        <v>17312</v>
      </c>
      <c r="P14" s="17">
        <v>13222</v>
      </c>
    </row>
    <row r="15" spans="1:16" ht="11.25">
      <c r="A15" s="2" t="s">
        <v>17</v>
      </c>
      <c r="C15" s="17">
        <v>52645</v>
      </c>
      <c r="D15" s="17">
        <v>58338</v>
      </c>
      <c r="E15" s="18">
        <v>49860</v>
      </c>
      <c r="F15" s="18">
        <v>65486</v>
      </c>
      <c r="G15" s="19">
        <v>50084</v>
      </c>
      <c r="H15" s="17">
        <v>65729</v>
      </c>
      <c r="I15" s="17">
        <v>61038</v>
      </c>
      <c r="J15" s="17">
        <v>46706</v>
      </c>
      <c r="K15" s="19">
        <v>36535</v>
      </c>
      <c r="L15" s="18">
        <v>39676</v>
      </c>
      <c r="M15" s="18">
        <v>34471</v>
      </c>
      <c r="N15" s="18">
        <v>28565</v>
      </c>
      <c r="O15" s="17">
        <v>28567</v>
      </c>
      <c r="P15" s="17">
        <v>41302</v>
      </c>
    </row>
    <row r="16" spans="1:16" ht="11.25">
      <c r="A16" s="2" t="s">
        <v>18</v>
      </c>
      <c r="C16" s="18">
        <f aca="true" t="shared" si="1" ref="C16:P16">C17+C21</f>
        <v>63109</v>
      </c>
      <c r="D16" s="18">
        <f t="shared" si="1"/>
        <v>80371</v>
      </c>
      <c r="E16" s="18">
        <f t="shared" si="1"/>
        <v>66165</v>
      </c>
      <c r="F16" s="18">
        <f t="shared" si="1"/>
        <v>71144</v>
      </c>
      <c r="G16" s="19">
        <f t="shared" si="1"/>
        <v>68184</v>
      </c>
      <c r="H16" s="17">
        <f t="shared" si="1"/>
        <v>64563</v>
      </c>
      <c r="I16" s="17">
        <f t="shared" si="1"/>
        <v>52612</v>
      </c>
      <c r="J16" s="17">
        <f t="shared" si="1"/>
        <v>53677</v>
      </c>
      <c r="K16" s="19">
        <f t="shared" si="1"/>
        <v>47746</v>
      </c>
      <c r="L16" s="18">
        <f t="shared" si="1"/>
        <v>46895</v>
      </c>
      <c r="M16" s="18">
        <f t="shared" si="1"/>
        <v>51968</v>
      </c>
      <c r="N16" s="18">
        <f t="shared" si="1"/>
        <v>65855</v>
      </c>
      <c r="O16" s="17">
        <f t="shared" si="1"/>
        <v>50942</v>
      </c>
      <c r="P16" s="17">
        <f t="shared" si="1"/>
        <v>65822</v>
      </c>
    </row>
    <row r="17" spans="2:16" ht="11.25">
      <c r="B17" s="2" t="s">
        <v>15</v>
      </c>
      <c r="C17" s="18">
        <f aca="true" t="shared" si="2" ref="C17:P17">SUM(C18:C20)</f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19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9">
        <f t="shared" si="2"/>
        <v>0</v>
      </c>
      <c r="L17" s="18">
        <f t="shared" si="2"/>
        <v>45</v>
      </c>
      <c r="M17" s="18">
        <f t="shared" si="2"/>
        <v>420</v>
      </c>
      <c r="N17" s="18">
        <f t="shared" si="2"/>
        <v>478</v>
      </c>
      <c r="O17" s="17">
        <f t="shared" si="2"/>
        <v>557</v>
      </c>
      <c r="P17" s="17">
        <f t="shared" si="2"/>
        <v>1816</v>
      </c>
    </row>
    <row r="18" spans="2:16" ht="11.25">
      <c r="B18" s="2" t="s">
        <v>19</v>
      </c>
      <c r="C18" s="18">
        <v>0</v>
      </c>
      <c r="D18" s="18">
        <v>0</v>
      </c>
      <c r="E18" s="18">
        <v>0</v>
      </c>
      <c r="F18" s="18">
        <v>0</v>
      </c>
      <c r="G18" s="19">
        <v>0</v>
      </c>
      <c r="H18" s="17">
        <v>0</v>
      </c>
      <c r="I18" s="17">
        <v>0</v>
      </c>
      <c r="J18" s="17">
        <v>0</v>
      </c>
      <c r="K18" s="19">
        <v>0</v>
      </c>
      <c r="L18" s="18">
        <v>0</v>
      </c>
      <c r="M18" s="18">
        <v>0</v>
      </c>
      <c r="N18" s="18">
        <v>0</v>
      </c>
      <c r="O18" s="17">
        <v>0</v>
      </c>
      <c r="P18" s="17">
        <v>0</v>
      </c>
    </row>
    <row r="19" spans="2:16" ht="11.25">
      <c r="B19" s="2" t="s">
        <v>20</v>
      </c>
      <c r="C19" s="18">
        <v>0</v>
      </c>
      <c r="D19" s="18">
        <v>0</v>
      </c>
      <c r="E19" s="18">
        <v>0</v>
      </c>
      <c r="F19" s="18">
        <v>0</v>
      </c>
      <c r="G19" s="19">
        <v>0</v>
      </c>
      <c r="H19" s="17">
        <v>0</v>
      </c>
      <c r="I19" s="17">
        <v>0</v>
      </c>
      <c r="J19" s="17">
        <v>0</v>
      </c>
      <c r="K19" s="19">
        <v>0</v>
      </c>
      <c r="L19" s="18">
        <v>45</v>
      </c>
      <c r="M19" s="18">
        <v>420</v>
      </c>
      <c r="N19" s="18">
        <v>478</v>
      </c>
      <c r="O19" s="17">
        <v>557</v>
      </c>
      <c r="P19" s="17">
        <v>1816</v>
      </c>
    </row>
    <row r="20" spans="2:16" ht="11.25">
      <c r="B20" s="2" t="s">
        <v>21</v>
      </c>
      <c r="C20" s="18">
        <v>0</v>
      </c>
      <c r="D20" s="18">
        <v>0</v>
      </c>
      <c r="E20" s="18">
        <v>0</v>
      </c>
      <c r="F20" s="18">
        <v>0</v>
      </c>
      <c r="G20" s="19">
        <v>0</v>
      </c>
      <c r="H20" s="17">
        <v>0</v>
      </c>
      <c r="I20" s="17">
        <v>0</v>
      </c>
      <c r="J20" s="17">
        <v>0</v>
      </c>
      <c r="K20" s="19">
        <v>0</v>
      </c>
      <c r="L20" s="18">
        <v>0</v>
      </c>
      <c r="M20" s="18">
        <v>0</v>
      </c>
      <c r="N20" s="18">
        <v>0</v>
      </c>
      <c r="O20" s="17">
        <v>0</v>
      </c>
      <c r="P20" s="17">
        <v>0</v>
      </c>
    </row>
    <row r="21" spans="2:16" ht="11.25">
      <c r="B21" s="2" t="s">
        <v>16</v>
      </c>
      <c r="C21" s="18">
        <f>SUM(C22:C24)</f>
        <v>63109</v>
      </c>
      <c r="D21" s="18">
        <f>SUM(D22:D24)</f>
        <v>80371</v>
      </c>
      <c r="E21" s="18">
        <f>SUM(E22:E24)</f>
        <v>66165</v>
      </c>
      <c r="F21" s="18">
        <f>SUM(F22:F24)</f>
        <v>71144</v>
      </c>
      <c r="G21" s="19">
        <f aca="true" t="shared" si="3" ref="G21:P21">SUM(G23:G24)</f>
        <v>68184</v>
      </c>
      <c r="H21" s="17">
        <f t="shared" si="3"/>
        <v>64563</v>
      </c>
      <c r="I21" s="17">
        <f t="shared" si="3"/>
        <v>52612</v>
      </c>
      <c r="J21" s="17">
        <f t="shared" si="3"/>
        <v>53677</v>
      </c>
      <c r="K21" s="19">
        <f t="shared" si="3"/>
        <v>47746</v>
      </c>
      <c r="L21" s="18">
        <f t="shared" si="3"/>
        <v>46850</v>
      </c>
      <c r="M21" s="18">
        <f t="shared" si="3"/>
        <v>51548</v>
      </c>
      <c r="N21" s="18">
        <f t="shared" si="3"/>
        <v>65377</v>
      </c>
      <c r="O21" s="17">
        <f t="shared" si="3"/>
        <v>50385</v>
      </c>
      <c r="P21" s="17">
        <f t="shared" si="3"/>
        <v>64006</v>
      </c>
    </row>
    <row r="22" spans="2:16" ht="11.25">
      <c r="B22" s="2" t="s">
        <v>19</v>
      </c>
      <c r="C22" s="18"/>
      <c r="D22" s="18"/>
      <c r="E22" s="18"/>
      <c r="F22" s="18"/>
      <c r="G22" s="19"/>
      <c r="H22" s="17"/>
      <c r="I22" s="17"/>
      <c r="J22" s="17"/>
      <c r="K22" s="19"/>
      <c r="L22" s="18"/>
      <c r="M22" s="18"/>
      <c r="N22" s="18"/>
      <c r="O22" s="17"/>
      <c r="P22" s="17"/>
    </row>
    <row r="23" spans="2:16" ht="11.25">
      <c r="B23" s="2" t="s">
        <v>20</v>
      </c>
      <c r="C23" s="17">
        <v>19960</v>
      </c>
      <c r="D23" s="17">
        <f>13737+15539</f>
        <v>29276</v>
      </c>
      <c r="E23" s="18">
        <v>20548</v>
      </c>
      <c r="F23" s="18">
        <f>5595+15642</f>
        <v>21237</v>
      </c>
      <c r="G23" s="19">
        <f>14652+15446</f>
        <v>30098</v>
      </c>
      <c r="H23" s="17">
        <f>6041+18132</f>
        <v>24173</v>
      </c>
      <c r="I23" s="17">
        <v>26253</v>
      </c>
      <c r="J23" s="17">
        <v>29293</v>
      </c>
      <c r="K23" s="19">
        <f>18622+8776</f>
        <v>27398</v>
      </c>
      <c r="L23" s="18">
        <v>25584</v>
      </c>
      <c r="M23" s="18">
        <v>28775</v>
      </c>
      <c r="N23" s="18">
        <v>31508</v>
      </c>
      <c r="O23" s="17">
        <v>44765</v>
      </c>
      <c r="P23" s="17">
        <v>63987</v>
      </c>
    </row>
    <row r="24" spans="2:16" ht="11.25">
      <c r="B24" s="2" t="s">
        <v>21</v>
      </c>
      <c r="C24" s="17">
        <v>43149</v>
      </c>
      <c r="D24" s="23">
        <f>80371-29276</f>
        <v>51095</v>
      </c>
      <c r="E24" s="18">
        <v>45617</v>
      </c>
      <c r="F24" s="18">
        <v>49907</v>
      </c>
      <c r="G24" s="19">
        <v>38086</v>
      </c>
      <c r="H24" s="17">
        <v>40390</v>
      </c>
      <c r="I24" s="17">
        <v>26359</v>
      </c>
      <c r="J24" s="17">
        <v>24384</v>
      </c>
      <c r="K24" s="19">
        <v>20348</v>
      </c>
      <c r="L24" s="18">
        <v>21266</v>
      </c>
      <c r="M24" s="18">
        <v>22773</v>
      </c>
      <c r="N24" s="18">
        <v>33869</v>
      </c>
      <c r="O24" s="17">
        <v>5620</v>
      </c>
      <c r="P24" s="17">
        <v>19</v>
      </c>
    </row>
    <row r="25" spans="1:16" ht="11.25">
      <c r="A25" s="3" t="s">
        <v>22</v>
      </c>
      <c r="B25" s="3"/>
      <c r="C25" s="24">
        <v>23728</v>
      </c>
      <c r="D25" s="24">
        <v>7703</v>
      </c>
      <c r="E25" s="24">
        <v>8970</v>
      </c>
      <c r="F25" s="24">
        <v>15537</v>
      </c>
      <c r="G25" s="25">
        <v>17852</v>
      </c>
      <c r="H25" s="24">
        <v>24928</v>
      </c>
      <c r="I25" s="24">
        <v>21151</v>
      </c>
      <c r="J25" s="24">
        <v>3812</v>
      </c>
      <c r="K25" s="25">
        <v>3806</v>
      </c>
      <c r="L25" s="24">
        <v>10087</v>
      </c>
      <c r="M25" s="24">
        <v>10274</v>
      </c>
      <c r="N25" s="24">
        <v>10252</v>
      </c>
      <c r="O25" s="24">
        <v>10045</v>
      </c>
      <c r="P25" s="24">
        <v>11498</v>
      </c>
    </row>
    <row r="26" spans="1:16" ht="11.25">
      <c r="A26" s="11" t="s">
        <v>23</v>
      </c>
      <c r="C26" s="5"/>
      <c r="E26" s="18"/>
      <c r="F26" s="26"/>
      <c r="J26" s="17"/>
      <c r="K26" s="19"/>
      <c r="L26" s="18"/>
      <c r="M26" s="18"/>
      <c r="N26" s="18"/>
      <c r="O26" s="17"/>
      <c r="P26" s="17"/>
    </row>
    <row r="27" spans="1:16" ht="11.25">
      <c r="A27" s="2" t="s">
        <v>12</v>
      </c>
      <c r="C27" s="18">
        <f aca="true" t="shared" si="4" ref="C27:I27">(C10+G10)/2</f>
        <v>87977.5</v>
      </c>
      <c r="D27" s="18">
        <f t="shared" si="4"/>
        <v>90347</v>
      </c>
      <c r="E27" s="18">
        <f t="shared" si="4"/>
        <v>76763</v>
      </c>
      <c r="F27" s="27">
        <f t="shared" si="4"/>
        <v>76684.5</v>
      </c>
      <c r="G27" s="17">
        <f t="shared" si="4"/>
        <v>73869</v>
      </c>
      <c r="H27" s="17">
        <f t="shared" si="4"/>
        <v>81832</v>
      </c>
      <c r="I27" s="17">
        <f t="shared" si="4"/>
        <v>75090</v>
      </c>
      <c r="J27" s="17">
        <f>+(J10+N10)/2</f>
        <v>75938</v>
      </c>
      <c r="K27" s="19">
        <f>(60233+72134)/2</f>
        <v>66183.5</v>
      </c>
      <c r="L27" s="18">
        <f>(72643+74499)/2</f>
        <v>73571</v>
      </c>
      <c r="M27" s="18">
        <f>(73686+81406)/2</f>
        <v>77546</v>
      </c>
      <c r="N27" s="18">
        <f>(87109+75710)/2</f>
        <v>81409.5</v>
      </c>
      <c r="O27" s="17">
        <f>(O10+P10)/2</f>
        <v>83005</v>
      </c>
      <c r="P27" s="17">
        <f>(P10+110258)/2</f>
        <v>102067</v>
      </c>
    </row>
    <row r="28" spans="1:16" ht="11.25">
      <c r="A28" s="2" t="s">
        <v>24</v>
      </c>
      <c r="C28" s="18">
        <f aca="true" t="shared" si="5" ref="C28:P28">C29+C30</f>
        <v>72999</v>
      </c>
      <c r="D28" s="18">
        <f t="shared" si="5"/>
        <v>83557</v>
      </c>
      <c r="E28" s="18">
        <f t="shared" si="5"/>
        <v>67508.5</v>
      </c>
      <c r="F28" s="27">
        <f t="shared" si="5"/>
        <v>70871.5</v>
      </c>
      <c r="G28" s="17">
        <f t="shared" si="5"/>
        <v>62643</v>
      </c>
      <c r="H28" s="17">
        <f t="shared" si="5"/>
        <v>68060.5</v>
      </c>
      <c r="I28" s="17">
        <f t="shared" si="5"/>
        <v>57143.5</v>
      </c>
      <c r="J28" s="17">
        <f t="shared" si="5"/>
        <v>43423.5</v>
      </c>
      <c r="K28" s="19">
        <f t="shared" si="5"/>
        <v>47540</v>
      </c>
      <c r="L28" s="18">
        <f t="shared" si="5"/>
        <v>50814.5</v>
      </c>
      <c r="M28" s="18">
        <f t="shared" si="5"/>
        <v>51647.5</v>
      </c>
      <c r="N28" s="18">
        <f t="shared" si="5"/>
        <v>48230.5</v>
      </c>
      <c r="O28" s="17">
        <f t="shared" si="5"/>
        <v>51112.5</v>
      </c>
      <c r="P28" s="17">
        <f t="shared" si="5"/>
        <v>66489.5</v>
      </c>
    </row>
    <row r="29" spans="2:16" ht="11.25">
      <c r="B29" s="2" t="s">
        <v>14</v>
      </c>
      <c r="C29" s="18">
        <f aca="true" t="shared" si="6" ref="C29:I29">(C12+G12)/2</f>
        <v>21634.5</v>
      </c>
      <c r="D29" s="18">
        <f t="shared" si="6"/>
        <v>21523.5</v>
      </c>
      <c r="E29" s="18">
        <f t="shared" si="6"/>
        <v>12059.5</v>
      </c>
      <c r="F29" s="27">
        <f t="shared" si="6"/>
        <v>14775.5</v>
      </c>
      <c r="G29" s="17">
        <f t="shared" si="6"/>
        <v>19333.5</v>
      </c>
      <c r="H29" s="17">
        <f t="shared" si="6"/>
        <v>15358</v>
      </c>
      <c r="I29" s="17">
        <f t="shared" si="6"/>
        <v>9389</v>
      </c>
      <c r="J29" s="17">
        <f>+(J12+N12)/2</f>
        <v>5788</v>
      </c>
      <c r="K29" s="19">
        <f>(K12+O12)/2</f>
        <v>14989</v>
      </c>
      <c r="L29" s="18">
        <f>(13857+20525)/2</f>
        <v>17191</v>
      </c>
      <c r="M29" s="18">
        <f>(12462+20611)/2</f>
        <v>16536.5</v>
      </c>
      <c r="N29" s="18">
        <f>(2769+24832)/2</f>
        <v>13800.5</v>
      </c>
      <c r="O29" s="17">
        <f>(O12+P12)/2</f>
        <v>16178</v>
      </c>
      <c r="P29" s="17">
        <f>(P12+35184)/2</f>
        <v>24734.5</v>
      </c>
    </row>
    <row r="30" spans="2:16" ht="11.25">
      <c r="B30" s="2" t="s">
        <v>17</v>
      </c>
      <c r="C30" s="18">
        <f aca="true" t="shared" si="7" ref="C30:I30">(C15+G15)/2</f>
        <v>51364.5</v>
      </c>
      <c r="D30" s="18">
        <f t="shared" si="7"/>
        <v>62033.5</v>
      </c>
      <c r="E30" s="18">
        <f t="shared" si="7"/>
        <v>55449</v>
      </c>
      <c r="F30" s="27">
        <f t="shared" si="7"/>
        <v>56096</v>
      </c>
      <c r="G30" s="17">
        <f t="shared" si="7"/>
        <v>43309.5</v>
      </c>
      <c r="H30" s="17">
        <f t="shared" si="7"/>
        <v>52702.5</v>
      </c>
      <c r="I30" s="17">
        <f t="shared" si="7"/>
        <v>47754.5</v>
      </c>
      <c r="J30" s="17">
        <f>+(J15+N15)/2</f>
        <v>37635.5</v>
      </c>
      <c r="K30" s="19">
        <f>(K15+O15)/2</f>
        <v>32551</v>
      </c>
      <c r="L30" s="18">
        <f>(39676+27571)/2</f>
        <v>33623.5</v>
      </c>
      <c r="M30" s="18">
        <f>(34471+35751)/2</f>
        <v>35111</v>
      </c>
      <c r="N30" s="18">
        <f>(28565+40295)/2</f>
        <v>34430</v>
      </c>
      <c r="O30" s="17">
        <f>(O15+P15)/2</f>
        <v>34934.5</v>
      </c>
      <c r="P30" s="17">
        <f>(P15+42208)/2</f>
        <v>41755</v>
      </c>
    </row>
    <row r="31" spans="1:16" ht="11.25">
      <c r="A31" s="3" t="s">
        <v>22</v>
      </c>
      <c r="B31" s="3"/>
      <c r="C31" s="24">
        <f aca="true" t="shared" si="8" ref="C31:I31">(C25+G25)/2</f>
        <v>20790</v>
      </c>
      <c r="D31" s="18">
        <f t="shared" si="8"/>
        <v>16315.5</v>
      </c>
      <c r="E31" s="18">
        <f t="shared" si="8"/>
        <v>15060.5</v>
      </c>
      <c r="F31" s="28">
        <f t="shared" si="8"/>
        <v>9674.5</v>
      </c>
      <c r="G31" s="24">
        <f t="shared" si="8"/>
        <v>10829</v>
      </c>
      <c r="H31" s="24">
        <f t="shared" si="8"/>
        <v>17507.5</v>
      </c>
      <c r="I31" s="24">
        <f t="shared" si="8"/>
        <v>15712.5</v>
      </c>
      <c r="J31" s="24">
        <f>+(J25+N25)/2</f>
        <v>7032</v>
      </c>
      <c r="K31" s="25">
        <f>(K25+O25)/2</f>
        <v>6925.5</v>
      </c>
      <c r="L31" s="24">
        <f>(10087+10214)/2</f>
        <v>10150.5</v>
      </c>
      <c r="M31" s="24">
        <f>(10275+10061)/2</f>
        <v>10168</v>
      </c>
      <c r="N31" s="24">
        <f>(10253+10785)/2</f>
        <v>10519</v>
      </c>
      <c r="O31" s="24">
        <f>(O25+P25)/2</f>
        <v>10771.5</v>
      </c>
      <c r="P31" s="24">
        <f>(P25+13133)/2</f>
        <v>12315.5</v>
      </c>
    </row>
    <row r="32" spans="1:14" ht="11.25">
      <c r="A32" s="11" t="s">
        <v>25</v>
      </c>
      <c r="D32" s="5"/>
      <c r="E32" s="29"/>
      <c r="F32" s="26"/>
      <c r="J32" s="17"/>
      <c r="K32" s="30"/>
      <c r="L32" s="4"/>
      <c r="M32" s="4"/>
      <c r="N32" s="4"/>
    </row>
    <row r="33" spans="1:16" ht="11.25">
      <c r="A33" s="2" t="s">
        <v>26</v>
      </c>
      <c r="C33" s="17">
        <v>5047</v>
      </c>
      <c r="D33" s="18">
        <v>3832</v>
      </c>
      <c r="E33" s="18">
        <v>2544</v>
      </c>
      <c r="F33" s="27">
        <v>1215</v>
      </c>
      <c r="G33" s="17">
        <v>4149</v>
      </c>
      <c r="H33" s="17">
        <v>2889</v>
      </c>
      <c r="I33" s="17">
        <v>1821</v>
      </c>
      <c r="J33" s="17">
        <v>975</v>
      </c>
      <c r="K33" s="19">
        <v>3160</v>
      </c>
      <c r="L33" s="18">
        <f>890+M33</f>
        <v>2357</v>
      </c>
      <c r="M33" s="18">
        <f>774+N33</f>
        <v>1467</v>
      </c>
      <c r="N33" s="18">
        <v>693</v>
      </c>
      <c r="O33" s="17">
        <v>4783</v>
      </c>
      <c r="P33" s="17">
        <v>6601</v>
      </c>
    </row>
    <row r="34" spans="1:16" ht="11.25">
      <c r="A34" s="2" t="s">
        <v>27</v>
      </c>
      <c r="C34" s="17">
        <v>4099</v>
      </c>
      <c r="D34" s="18">
        <v>3034</v>
      </c>
      <c r="E34" s="18">
        <v>2049</v>
      </c>
      <c r="F34" s="27">
        <v>968</v>
      </c>
      <c r="G34" s="17">
        <v>3584</v>
      </c>
      <c r="H34" s="17">
        <v>2646</v>
      </c>
      <c r="I34" s="17">
        <v>1615</v>
      </c>
      <c r="J34" s="17">
        <v>852</v>
      </c>
      <c r="K34" s="19">
        <v>2893</v>
      </c>
      <c r="L34" s="18">
        <f>810+M34</f>
        <v>2097</v>
      </c>
      <c r="M34" s="18">
        <f>761+N34</f>
        <v>1287</v>
      </c>
      <c r="N34" s="18">
        <v>526</v>
      </c>
      <c r="O34" s="17">
        <v>3292</v>
      </c>
      <c r="P34" s="17">
        <v>5403</v>
      </c>
    </row>
    <row r="35" spans="1:16" ht="11.25">
      <c r="A35" s="2" t="s">
        <v>28</v>
      </c>
      <c r="C35" s="17">
        <f>+C33-C34</f>
        <v>948</v>
      </c>
      <c r="D35" s="18">
        <f>+D33-D34</f>
        <v>798</v>
      </c>
      <c r="E35" s="18">
        <f>+E33-E34</f>
        <v>495</v>
      </c>
      <c r="F35" s="27">
        <f>+F33-F34</f>
        <v>247</v>
      </c>
      <c r="G35" s="17">
        <f>+G33-G34</f>
        <v>565</v>
      </c>
      <c r="H35" s="17">
        <f aca="true" t="shared" si="9" ref="H35:P35">H33-H34</f>
        <v>243</v>
      </c>
      <c r="I35" s="17">
        <f t="shared" si="9"/>
        <v>206</v>
      </c>
      <c r="J35" s="17">
        <f t="shared" si="9"/>
        <v>123</v>
      </c>
      <c r="K35" s="19">
        <f t="shared" si="9"/>
        <v>267</v>
      </c>
      <c r="L35" s="18">
        <f t="shared" si="9"/>
        <v>260</v>
      </c>
      <c r="M35" s="18">
        <f t="shared" si="9"/>
        <v>180</v>
      </c>
      <c r="N35" s="18">
        <f t="shared" si="9"/>
        <v>167</v>
      </c>
      <c r="O35" s="17">
        <f t="shared" si="9"/>
        <v>1491</v>
      </c>
      <c r="P35" s="17">
        <f t="shared" si="9"/>
        <v>1198</v>
      </c>
    </row>
    <row r="36" spans="1:16" ht="11.25">
      <c r="A36" s="2" t="s">
        <v>29</v>
      </c>
      <c r="C36" s="17">
        <v>1627</v>
      </c>
      <c r="D36" s="18">
        <v>300</v>
      </c>
      <c r="E36" s="18">
        <v>189</v>
      </c>
      <c r="F36" s="27">
        <v>52</v>
      </c>
      <c r="G36" s="17">
        <v>2582</v>
      </c>
      <c r="H36" s="17">
        <v>2105</v>
      </c>
      <c r="I36" s="17">
        <v>1481</v>
      </c>
      <c r="J36" s="17">
        <v>50</v>
      </c>
      <c r="K36" s="19">
        <v>4386</v>
      </c>
      <c r="L36" s="18">
        <f>277+M36</f>
        <v>1720</v>
      </c>
      <c r="M36" s="18">
        <f>865+N36</f>
        <v>1443</v>
      </c>
      <c r="N36" s="18">
        <v>578</v>
      </c>
      <c r="O36" s="17">
        <v>6162</v>
      </c>
      <c r="P36" s="17">
        <v>13273</v>
      </c>
    </row>
    <row r="37" spans="1:16" ht="11.25">
      <c r="A37" s="2" t="s">
        <v>30</v>
      </c>
      <c r="C37" s="17">
        <f>+C36+C35</f>
        <v>2575</v>
      </c>
      <c r="D37" s="18">
        <f>+D36+D35</f>
        <v>1098</v>
      </c>
      <c r="E37" s="18">
        <f>+E36+E35</f>
        <v>684</v>
      </c>
      <c r="F37" s="27">
        <f>+F36+F35</f>
        <v>299</v>
      </c>
      <c r="G37" s="17">
        <f>+G36+G35</f>
        <v>3147</v>
      </c>
      <c r="H37" s="17">
        <f aca="true" t="shared" si="10" ref="H37:P37">H35+H36</f>
        <v>2348</v>
      </c>
      <c r="I37" s="17">
        <f t="shared" si="10"/>
        <v>1687</v>
      </c>
      <c r="J37" s="17">
        <f t="shared" si="10"/>
        <v>173</v>
      </c>
      <c r="K37" s="19">
        <f t="shared" si="10"/>
        <v>4653</v>
      </c>
      <c r="L37" s="18">
        <f t="shared" si="10"/>
        <v>1980</v>
      </c>
      <c r="M37" s="18">
        <f t="shared" si="10"/>
        <v>1623</v>
      </c>
      <c r="N37" s="18">
        <f t="shared" si="10"/>
        <v>745</v>
      </c>
      <c r="O37" s="17">
        <f t="shared" si="10"/>
        <v>7653</v>
      </c>
      <c r="P37" s="17">
        <f t="shared" si="10"/>
        <v>14471</v>
      </c>
    </row>
    <row r="38" spans="1:16" ht="11.25">
      <c r="A38" s="2" t="s">
        <v>31</v>
      </c>
      <c r="C38" s="17">
        <v>684</v>
      </c>
      <c r="D38" s="18">
        <v>526</v>
      </c>
      <c r="E38" s="18">
        <v>365</v>
      </c>
      <c r="F38" s="27">
        <v>184</v>
      </c>
      <c r="G38" s="17">
        <v>1168</v>
      </c>
      <c r="H38" s="17">
        <v>978</v>
      </c>
      <c r="I38" s="17">
        <v>795</v>
      </c>
      <c r="J38" s="17">
        <v>167</v>
      </c>
      <c r="K38" s="19">
        <v>2814</v>
      </c>
      <c r="L38" s="18">
        <f>206+M38</f>
        <v>688</v>
      </c>
      <c r="M38" s="18">
        <f>243+N38</f>
        <v>482</v>
      </c>
      <c r="N38" s="18">
        <v>239</v>
      </c>
      <c r="O38" s="17">
        <v>5860</v>
      </c>
      <c r="P38" s="17">
        <v>12551</v>
      </c>
    </row>
    <row r="39" spans="1:16" ht="11.25">
      <c r="A39" s="2" t="s">
        <v>32</v>
      </c>
      <c r="C39" s="17">
        <f>+C37-C38</f>
        <v>1891</v>
      </c>
      <c r="D39" s="18">
        <f>+D37-D38</f>
        <v>572</v>
      </c>
      <c r="E39" s="18">
        <f>+E37-E38</f>
        <v>319</v>
      </c>
      <c r="F39" s="27">
        <f>+F37-F38</f>
        <v>115</v>
      </c>
      <c r="G39" s="17">
        <f>+G37-G38</f>
        <v>1979</v>
      </c>
      <c r="H39" s="17">
        <f aca="true" t="shared" si="11" ref="H39:P39">H37-H38</f>
        <v>1370</v>
      </c>
      <c r="I39" s="17">
        <f t="shared" si="11"/>
        <v>892</v>
      </c>
      <c r="J39" s="17">
        <f t="shared" si="11"/>
        <v>6</v>
      </c>
      <c r="K39" s="19">
        <f t="shared" si="11"/>
        <v>1839</v>
      </c>
      <c r="L39" s="18">
        <f t="shared" si="11"/>
        <v>1292</v>
      </c>
      <c r="M39" s="18">
        <f t="shared" si="11"/>
        <v>1141</v>
      </c>
      <c r="N39" s="18">
        <f t="shared" si="11"/>
        <v>506</v>
      </c>
      <c r="O39" s="17">
        <f t="shared" si="11"/>
        <v>1793</v>
      </c>
      <c r="P39" s="17">
        <f t="shared" si="11"/>
        <v>1920</v>
      </c>
    </row>
    <row r="40" spans="1:16" ht="11.25">
      <c r="A40" s="3" t="s">
        <v>33</v>
      </c>
      <c r="B40" s="3"/>
      <c r="C40" s="18">
        <f>+C39</f>
        <v>1891</v>
      </c>
      <c r="D40" s="24">
        <v>572</v>
      </c>
      <c r="E40" s="24">
        <v>319</v>
      </c>
      <c r="F40" s="28">
        <v>115</v>
      </c>
      <c r="G40" s="24">
        <v>1979</v>
      </c>
      <c r="H40" s="24">
        <v>1370</v>
      </c>
      <c r="I40" s="24">
        <v>892</v>
      </c>
      <c r="J40" s="24">
        <v>6</v>
      </c>
      <c r="K40" s="25">
        <v>1459</v>
      </c>
      <c r="L40" s="24">
        <f>113+M40</f>
        <v>1242</v>
      </c>
      <c r="M40" s="24">
        <f>623+N40</f>
        <v>1129</v>
      </c>
      <c r="N40" s="24">
        <v>506</v>
      </c>
      <c r="O40" s="24">
        <v>1688</v>
      </c>
      <c r="P40" s="24">
        <v>1920</v>
      </c>
    </row>
    <row r="41" spans="1:16" ht="11.25">
      <c r="A41" s="31" t="s">
        <v>34</v>
      </c>
      <c r="B41" s="5"/>
      <c r="C41" s="5"/>
      <c r="D41" s="17"/>
      <c r="E41" s="18"/>
      <c r="F41" s="26"/>
      <c r="G41" s="4"/>
      <c r="H41" s="4"/>
      <c r="I41" s="17"/>
      <c r="J41" s="5"/>
      <c r="K41" s="32"/>
      <c r="L41" s="5"/>
      <c r="M41" s="5"/>
      <c r="N41" s="4"/>
      <c r="O41" s="5"/>
      <c r="P41" s="5"/>
    </row>
    <row r="42" spans="1:16" ht="11.25">
      <c r="A42" s="4" t="s">
        <v>35</v>
      </c>
      <c r="B42" s="4"/>
      <c r="C42" s="18">
        <v>0</v>
      </c>
      <c r="D42" s="18">
        <v>0</v>
      </c>
      <c r="E42" s="20">
        <v>0</v>
      </c>
      <c r="F42" s="33">
        <v>0</v>
      </c>
      <c r="G42" s="20">
        <v>0</v>
      </c>
      <c r="H42" s="18">
        <v>0</v>
      </c>
      <c r="I42" s="17">
        <v>30</v>
      </c>
      <c r="J42" s="4">
        <v>30</v>
      </c>
      <c r="K42" s="19">
        <v>68</v>
      </c>
      <c r="L42" s="18">
        <v>30</v>
      </c>
      <c r="M42" s="18">
        <v>35</v>
      </c>
      <c r="N42" s="18">
        <v>47</v>
      </c>
      <c r="O42" s="18">
        <v>114</v>
      </c>
      <c r="P42" s="18">
        <v>85</v>
      </c>
    </row>
    <row r="43" spans="1:16" ht="11.25">
      <c r="A43" s="4" t="s">
        <v>36</v>
      </c>
      <c r="B43" s="4"/>
      <c r="C43" s="4">
        <v>268</v>
      </c>
      <c r="D43" s="17">
        <v>267</v>
      </c>
      <c r="E43" s="18">
        <v>218</v>
      </c>
      <c r="F43" s="26">
        <v>268</v>
      </c>
      <c r="G43" s="20">
        <v>31</v>
      </c>
      <c r="H43" s="18">
        <v>31</v>
      </c>
      <c r="I43" s="17">
        <v>31</v>
      </c>
      <c r="J43" s="4">
        <v>82</v>
      </c>
      <c r="K43" s="19">
        <v>386</v>
      </c>
      <c r="L43" s="18">
        <v>17</v>
      </c>
      <c r="M43" s="18">
        <v>17</v>
      </c>
      <c r="N43" s="18">
        <v>287</v>
      </c>
      <c r="O43" s="18">
        <v>287</v>
      </c>
      <c r="P43" s="18">
        <v>486</v>
      </c>
    </row>
    <row r="44" spans="1:16" ht="11.25">
      <c r="A44" s="4" t="s">
        <v>37</v>
      </c>
      <c r="B44" s="4"/>
      <c r="C44" s="34">
        <f aca="true" t="shared" si="12" ref="C44:P44">C42/C12</f>
        <v>0</v>
      </c>
      <c r="D44" s="34">
        <f t="shared" si="12"/>
        <v>0</v>
      </c>
      <c r="E44" s="34">
        <f t="shared" si="12"/>
        <v>0</v>
      </c>
      <c r="F44" s="35">
        <f t="shared" si="12"/>
        <v>0</v>
      </c>
      <c r="G44" s="34">
        <f t="shared" si="12"/>
        <v>0</v>
      </c>
      <c r="H44" s="34">
        <f t="shared" si="12"/>
        <v>0</v>
      </c>
      <c r="I44" s="34">
        <f t="shared" si="12"/>
        <v>0.004749841671944269</v>
      </c>
      <c r="J44" s="34">
        <f t="shared" si="12"/>
        <v>0.0034059945504087193</v>
      </c>
      <c r="K44" s="36">
        <f t="shared" si="12"/>
        <v>0.005710926345846981</v>
      </c>
      <c r="L44" s="34">
        <f t="shared" si="12"/>
        <v>0.002164970772894566</v>
      </c>
      <c r="M44" s="34">
        <f t="shared" si="12"/>
        <v>0.0028085379553843687</v>
      </c>
      <c r="N44" s="34">
        <f t="shared" si="12"/>
        <v>0.016979768786127166</v>
      </c>
      <c r="O44" s="34">
        <f t="shared" si="12"/>
        <v>0.006308450002766864</v>
      </c>
      <c r="P44" s="34">
        <f t="shared" si="12"/>
        <v>0.005950297514875744</v>
      </c>
    </row>
    <row r="45" spans="1:16" ht="11.25">
      <c r="A45" s="4" t="s">
        <v>38</v>
      </c>
      <c r="B45" s="4"/>
      <c r="C45" s="20">
        <f>+C42/C43</f>
        <v>0</v>
      </c>
      <c r="D45" s="20">
        <f>+D42/D43</f>
        <v>0</v>
      </c>
      <c r="E45" s="20">
        <f>+E42/E43</f>
        <v>0</v>
      </c>
      <c r="F45" s="33">
        <f>+F42/F43</f>
        <v>0</v>
      </c>
      <c r="G45" s="20">
        <f>+G42/G43</f>
        <v>0</v>
      </c>
      <c r="H45" s="34">
        <v>0</v>
      </c>
      <c r="I45" s="34">
        <f aca="true" t="shared" si="13" ref="I45:P45">+I43/I42</f>
        <v>1.0333333333333334</v>
      </c>
      <c r="J45" s="34">
        <f t="shared" si="13"/>
        <v>2.7333333333333334</v>
      </c>
      <c r="K45" s="36">
        <f t="shared" si="13"/>
        <v>5.676470588235294</v>
      </c>
      <c r="L45" s="34">
        <f t="shared" si="13"/>
        <v>0.5666666666666667</v>
      </c>
      <c r="M45" s="34">
        <f t="shared" si="13"/>
        <v>0.4857142857142857</v>
      </c>
      <c r="N45" s="34">
        <f t="shared" si="13"/>
        <v>6.1063829787234045</v>
      </c>
      <c r="O45" s="34">
        <f t="shared" si="13"/>
        <v>2.517543859649123</v>
      </c>
      <c r="P45" s="34">
        <f t="shared" si="13"/>
        <v>5.7176470588235295</v>
      </c>
    </row>
    <row r="46" spans="1:16" ht="11.25">
      <c r="A46" s="3" t="s">
        <v>39</v>
      </c>
      <c r="B46" s="3"/>
      <c r="C46" s="37">
        <f>386/C12</f>
        <v>0.023381186019746803</v>
      </c>
      <c r="D46" s="37">
        <f>D43/D12</f>
        <v>0.010195509393615396</v>
      </c>
      <c r="E46" s="37">
        <f aca="true" t="shared" si="14" ref="E46:J46">+E43/E12</f>
        <v>0.01224512722574847</v>
      </c>
      <c r="F46" s="38">
        <f t="shared" si="14"/>
        <v>0.012920021211975124</v>
      </c>
      <c r="G46" s="37">
        <f t="shared" si="14"/>
        <v>0.0011584454409566518</v>
      </c>
      <c r="H46" s="37">
        <f t="shared" si="14"/>
        <v>0.0018387804733376832</v>
      </c>
      <c r="I46" s="37">
        <f t="shared" si="14"/>
        <v>0.004908169727675744</v>
      </c>
      <c r="J46" s="37">
        <f t="shared" si="14"/>
        <v>0.009309718437783833</v>
      </c>
      <c r="K46" s="39">
        <f>386/K12</f>
        <v>0.03241790543377845</v>
      </c>
      <c r="L46" s="37">
        <f>17/L12</f>
        <v>0.0012268167713069206</v>
      </c>
      <c r="M46" s="37">
        <f>17/M12</f>
        <v>0.001364147006900979</v>
      </c>
      <c r="N46" s="37">
        <f>287/N12</f>
        <v>0.1036849710982659</v>
      </c>
      <c r="O46" s="37">
        <f>287/O12</f>
        <v>0.01588179956836921</v>
      </c>
      <c r="P46" s="37">
        <f>486/P12</f>
        <v>0.03402170108505425</v>
      </c>
    </row>
    <row r="47" spans="1:14" ht="11.25">
      <c r="A47" s="11" t="s">
        <v>40</v>
      </c>
      <c r="E47" s="18"/>
      <c r="F47" s="26"/>
      <c r="J47" s="40"/>
      <c r="K47" s="4"/>
      <c r="L47" s="4"/>
      <c r="M47" s="4"/>
      <c r="N47" s="4"/>
    </row>
    <row r="48" spans="1:16" ht="11.25">
      <c r="A48" s="2" t="s">
        <v>41</v>
      </c>
      <c r="C48" s="34">
        <f>+C25/C12</f>
        <v>1.4372766369858865</v>
      </c>
      <c r="D48" s="34">
        <f>+D25/D12</f>
        <v>0.2941423552772262</v>
      </c>
      <c r="E48" s="34">
        <f>+E25/E12</f>
        <v>0.503847666123687</v>
      </c>
      <c r="F48" s="35">
        <f aca="true" t="shared" si="15" ref="F48:P48">F25/F12</f>
        <v>0.7490237670539459</v>
      </c>
      <c r="G48" s="41">
        <f t="shared" si="15"/>
        <v>0.6671150971599402</v>
      </c>
      <c r="H48" s="41">
        <f t="shared" si="15"/>
        <v>1.478616762560057</v>
      </c>
      <c r="I48" s="41">
        <f t="shared" si="15"/>
        <v>3.3487967067764406</v>
      </c>
      <c r="J48" s="35">
        <f t="shared" si="15"/>
        <v>0.43278837420526794</v>
      </c>
      <c r="K48" s="41">
        <f t="shared" si="15"/>
        <v>0.31964390694549427</v>
      </c>
      <c r="L48" s="41">
        <f t="shared" si="15"/>
        <v>0.7279353395395829</v>
      </c>
      <c r="M48" s="41">
        <f t="shared" si="15"/>
        <v>0.8244262558176858</v>
      </c>
      <c r="N48" s="34">
        <f t="shared" si="15"/>
        <v>3.703757225433526</v>
      </c>
      <c r="O48" s="41">
        <f t="shared" si="15"/>
        <v>0.5558629848929224</v>
      </c>
      <c r="P48" s="41">
        <f t="shared" si="15"/>
        <v>0.8049002450122507</v>
      </c>
    </row>
    <row r="49" spans="1:16" ht="11.25">
      <c r="A49" s="3" t="s">
        <v>42</v>
      </c>
      <c r="B49" s="3"/>
      <c r="C49" s="37">
        <f aca="true" t="shared" si="16" ref="C49:P49">C25/(C12+C15)</f>
        <v>0.3431182578014287</v>
      </c>
      <c r="D49" s="37">
        <f t="shared" si="16"/>
        <v>0.09113172278352223</v>
      </c>
      <c r="E49" s="37">
        <f t="shared" si="16"/>
        <v>0.1325687598835405</v>
      </c>
      <c r="F49" s="38">
        <f t="shared" si="16"/>
        <v>0.18018300107852347</v>
      </c>
      <c r="G49" s="37">
        <f t="shared" si="16"/>
        <v>0.23231481963458436</v>
      </c>
      <c r="H49" s="37">
        <f t="shared" si="16"/>
        <v>0.3018356177652928</v>
      </c>
      <c r="I49" s="37">
        <f t="shared" si="16"/>
        <v>0.3140273777355465</v>
      </c>
      <c r="J49" s="38">
        <f t="shared" si="16"/>
        <v>0.06866736318766438</v>
      </c>
      <c r="K49" s="37">
        <f t="shared" si="16"/>
        <v>0.07856818463316956</v>
      </c>
      <c r="L49" s="37">
        <f t="shared" si="16"/>
        <v>0.18842583079595762</v>
      </c>
      <c r="M49" s="37">
        <f t="shared" si="16"/>
        <v>0.21890780474293142</v>
      </c>
      <c r="N49" s="37">
        <f t="shared" si="16"/>
        <v>0.327194970159257</v>
      </c>
      <c r="O49" s="37">
        <f t="shared" si="16"/>
        <v>0.21538230627385394</v>
      </c>
      <c r="P49" s="37">
        <f t="shared" si="16"/>
        <v>0.20684692464065338</v>
      </c>
    </row>
    <row r="50" spans="1:14" ht="11.25">
      <c r="A50" s="11" t="s">
        <v>43</v>
      </c>
      <c r="C50" s="18"/>
      <c r="D50" s="18"/>
      <c r="E50" s="18"/>
      <c r="F50" s="26"/>
      <c r="K50" s="30"/>
      <c r="L50" s="4"/>
      <c r="M50" s="4"/>
      <c r="N50" s="4"/>
    </row>
    <row r="51" spans="1:16" ht="11.25">
      <c r="A51" s="2" t="s">
        <v>44</v>
      </c>
      <c r="C51" s="34">
        <f aca="true" t="shared" si="17" ref="C51:P51">C11/C16</f>
        <v>0.29929170165903435</v>
      </c>
      <c r="D51" s="34">
        <f t="shared" si="17"/>
        <v>0.04752958156549004</v>
      </c>
      <c r="E51" s="34">
        <f t="shared" si="17"/>
        <v>0.07824378447819845</v>
      </c>
      <c r="F51" s="42">
        <f t="shared" si="17"/>
        <v>0.01950972675137749</v>
      </c>
      <c r="G51" s="43">
        <f t="shared" si="17"/>
        <v>0.14966854393992726</v>
      </c>
      <c r="H51" s="43">
        <f t="shared" si="17"/>
        <v>0.11673868934219289</v>
      </c>
      <c r="I51" s="43">
        <f t="shared" si="17"/>
        <v>0.16121797308598798</v>
      </c>
      <c r="J51" s="41">
        <f t="shared" si="17"/>
        <v>0.14689718128807497</v>
      </c>
      <c r="K51" s="36">
        <f t="shared" si="17"/>
        <v>0.2282494868680099</v>
      </c>
      <c r="L51" s="34">
        <f t="shared" si="17"/>
        <v>0.3508689625759676</v>
      </c>
      <c r="M51" s="34">
        <f t="shared" si="17"/>
        <v>0.47523475985221675</v>
      </c>
      <c r="N51" s="34">
        <f t="shared" si="17"/>
        <v>0.8102194214562296</v>
      </c>
      <c r="O51" s="41">
        <f t="shared" si="17"/>
        <v>0.45761846806171724</v>
      </c>
      <c r="P51" s="41">
        <f t="shared" si="17"/>
        <v>0.36894959132205035</v>
      </c>
    </row>
    <row r="52" spans="1:16" ht="11.25">
      <c r="A52" s="2" t="s">
        <v>45</v>
      </c>
      <c r="C52" s="34">
        <f aca="true" t="shared" si="18" ref="C52:P52">C11/C10</f>
        <v>0.21354437535330695</v>
      </c>
      <c r="D52" s="34">
        <f t="shared" si="18"/>
        <v>0.042599221616317066</v>
      </c>
      <c r="E52" s="34">
        <f t="shared" si="18"/>
        <v>0.06720583653546577</v>
      </c>
      <c r="F52" s="42">
        <f t="shared" si="18"/>
        <v>0.01566573740702701</v>
      </c>
      <c r="G52" s="43">
        <f t="shared" si="18"/>
        <v>0.11662190731958173</v>
      </c>
      <c r="H52" s="43">
        <f t="shared" si="18"/>
        <v>0.08280506696256908</v>
      </c>
      <c r="I52" s="43">
        <f t="shared" si="18"/>
        <v>0.11088451381807723</v>
      </c>
      <c r="J52" s="41">
        <f t="shared" si="18"/>
        <v>0.12174221837944664</v>
      </c>
      <c r="K52" s="36">
        <f t="shared" si="18"/>
        <v>0.18093071904105723</v>
      </c>
      <c r="L52" s="34">
        <f t="shared" si="18"/>
        <v>0.22650496262544223</v>
      </c>
      <c r="M52" s="34">
        <f t="shared" si="18"/>
        <v>0.3351654316966588</v>
      </c>
      <c r="N52" s="34">
        <f t="shared" si="18"/>
        <v>0.6125384580061533</v>
      </c>
      <c r="O52" s="41">
        <f t="shared" si="18"/>
        <v>0.32317631075498376</v>
      </c>
      <c r="P52" s="41">
        <f t="shared" si="18"/>
        <v>0.2586923175252461</v>
      </c>
    </row>
    <row r="53" spans="1:16" ht="11.25">
      <c r="A53" s="3" t="s">
        <v>46</v>
      </c>
      <c r="B53" s="3"/>
      <c r="C53" s="37">
        <f aca="true" t="shared" si="19" ref="C53:P53">(C11+C15)/C16</f>
        <v>1.1334833383511067</v>
      </c>
      <c r="D53" s="37">
        <f t="shared" si="19"/>
        <v>0.7733884112428613</v>
      </c>
      <c r="E53" s="37">
        <f t="shared" si="19"/>
        <v>0.8318144033854757</v>
      </c>
      <c r="F53" s="44">
        <f t="shared" si="19"/>
        <v>0.9399808838412235</v>
      </c>
      <c r="G53" s="45">
        <f t="shared" si="19"/>
        <v>0.8842103719347647</v>
      </c>
      <c r="H53" s="45">
        <f t="shared" si="19"/>
        <v>1.134798568839738</v>
      </c>
      <c r="I53" s="45">
        <f t="shared" si="19"/>
        <v>1.3213715502166805</v>
      </c>
      <c r="J53" s="37">
        <f t="shared" si="19"/>
        <v>1.0170277772602792</v>
      </c>
      <c r="K53" s="39">
        <f t="shared" si="19"/>
        <v>0.9934444770242533</v>
      </c>
      <c r="L53" s="37">
        <f t="shared" si="19"/>
        <v>1.196929310160998</v>
      </c>
      <c r="M53" s="37">
        <f t="shared" si="19"/>
        <v>1.1385467980295567</v>
      </c>
      <c r="N53" s="37">
        <f t="shared" si="19"/>
        <v>1.243975400501101</v>
      </c>
      <c r="O53" s="37">
        <f t="shared" si="19"/>
        <v>1.0183934670802088</v>
      </c>
      <c r="P53" s="37">
        <f t="shared" si="19"/>
        <v>0.9964297651241226</v>
      </c>
    </row>
    <row r="54" spans="1:14" ht="11.25">
      <c r="A54" s="11" t="s">
        <v>47</v>
      </c>
      <c r="D54" s="18"/>
      <c r="E54" s="18"/>
      <c r="F54" s="26"/>
      <c r="K54" s="30"/>
      <c r="L54" s="4"/>
      <c r="M54" s="4"/>
      <c r="N54" s="4"/>
    </row>
    <row r="55" spans="1:16" ht="11.25">
      <c r="A55" s="2" t="s">
        <v>48</v>
      </c>
      <c r="B55" s="4"/>
      <c r="C55" s="46">
        <f>C40/C28</f>
        <v>0.02590446444471842</v>
      </c>
      <c r="D55" s="34">
        <f>(D40/0.75)/D28</f>
        <v>0.0091275017852085</v>
      </c>
      <c r="E55" s="34">
        <f>(E40/0.5)/E28</f>
        <v>0.009450661768518038</v>
      </c>
      <c r="F55" s="35">
        <f>((F40)/0.25)/F28</f>
        <v>0.006490620348094792</v>
      </c>
      <c r="G55" s="46">
        <f>G40/G28</f>
        <v>0.031591718148875375</v>
      </c>
      <c r="H55" s="46">
        <f>(H40/0.75)/H28</f>
        <v>0.026838866400726805</v>
      </c>
      <c r="I55" s="41">
        <f>(I40/0.5)/I28</f>
        <v>0.031219648778951236</v>
      </c>
      <c r="J55" s="41">
        <f>((J40)/0.25)/J28</f>
        <v>0.0005526961207641024</v>
      </c>
      <c r="K55" s="47">
        <f>K40/K28</f>
        <v>0.030689945309213294</v>
      </c>
      <c r="L55" s="46">
        <f>(L40/0.75)/L28</f>
        <v>0.03258912318334334</v>
      </c>
      <c r="M55" s="46">
        <f>(M40/0.5)/M28</f>
        <v>0.043719444309985964</v>
      </c>
      <c r="N55" s="34">
        <f>((N40)/0.25)/N28</f>
        <v>0.041965146535905704</v>
      </c>
      <c r="O55" s="41">
        <f>O40/O28</f>
        <v>0.03302518953289313</v>
      </c>
      <c r="P55" s="41">
        <f>P40/P28</f>
        <v>0.028876739936380933</v>
      </c>
    </row>
    <row r="56" spans="1:16" ht="11.25">
      <c r="A56" s="2" t="s">
        <v>49</v>
      </c>
      <c r="B56" s="4"/>
      <c r="C56" s="46">
        <f>C40/C27</f>
        <v>0.021494132022392087</v>
      </c>
      <c r="D56" s="34">
        <f>(D40/0.75)/D27</f>
        <v>0.008441527296608261</v>
      </c>
      <c r="E56" s="34">
        <f>(E40/0.5)/E27</f>
        <v>0.00831129580657348</v>
      </c>
      <c r="F56" s="35">
        <f>((F40)/0.25)/F27</f>
        <v>0.005998604672391422</v>
      </c>
      <c r="G56" s="46">
        <f>G40/G27</f>
        <v>0.026790669969811422</v>
      </c>
      <c r="H56" s="46">
        <f>(H40/0.75)/H27</f>
        <v>0.02232215596180793</v>
      </c>
      <c r="I56" s="41">
        <f>(I40/0.5)/I27</f>
        <v>0.02375815687841257</v>
      </c>
      <c r="J56" s="41">
        <f>((J40)/0.25)/J27</f>
        <v>0.00031604730174616133</v>
      </c>
      <c r="K56" s="47">
        <f>K40/K27</f>
        <v>0.022044769466709982</v>
      </c>
      <c r="L56" s="46">
        <f>(L40/0.75)/L27</f>
        <v>0.02250886898370282</v>
      </c>
      <c r="M56" s="46">
        <f>(M40/0.5)/M27</f>
        <v>0.0291182008098419</v>
      </c>
      <c r="N56" s="34">
        <f>((N40)/0.25)/N27</f>
        <v>0.02486196328438327</v>
      </c>
      <c r="O56" s="41">
        <f>O40/O27</f>
        <v>0.020336124329859647</v>
      </c>
      <c r="P56" s="41">
        <f>P40/P27</f>
        <v>0.018811173052994602</v>
      </c>
    </row>
    <row r="57" spans="1:16" ht="11.25">
      <c r="A57" s="2" t="s">
        <v>50</v>
      </c>
      <c r="B57" s="4"/>
      <c r="C57" s="46">
        <f>+C40/C31</f>
        <v>0.09095719095719096</v>
      </c>
      <c r="D57" s="34">
        <f>(D40/0.75)/D31</f>
        <v>0.04674491536677801</v>
      </c>
      <c r="E57" s="34">
        <f>(E40/0.5)/E31</f>
        <v>0.04236247136549252</v>
      </c>
      <c r="F57" s="35">
        <f>((F40)/0.25)/F31</f>
        <v>0.04754767688252623</v>
      </c>
      <c r="G57" s="46">
        <f>+G40/G31</f>
        <v>0.18275002308615754</v>
      </c>
      <c r="H57" s="46">
        <f>(H40/0.75)/H31</f>
        <v>0.10433623685087344</v>
      </c>
      <c r="I57" s="41">
        <f>(I40/0.5)/I31</f>
        <v>0.11354017501988863</v>
      </c>
      <c r="J57" s="41">
        <f>((J40)/0.25)/J31</f>
        <v>0.0034129692832764505</v>
      </c>
      <c r="K57" s="47">
        <f>+K40/K31</f>
        <v>0.21067070969605084</v>
      </c>
      <c r="L57" s="46">
        <f>(L40/0.75)/L31</f>
        <v>0.16314467267622285</v>
      </c>
      <c r="M57" s="46">
        <f>(M40/0.5)/M31</f>
        <v>0.22206923682140048</v>
      </c>
      <c r="N57" s="34">
        <f>((N40)/0.25)/N31</f>
        <v>0.19241372754064073</v>
      </c>
      <c r="O57" s="41">
        <f>O40/O31</f>
        <v>0.15670983614167014</v>
      </c>
      <c r="P57" s="41">
        <f>P40/P31</f>
        <v>0.15590110023953554</v>
      </c>
    </row>
    <row r="58" spans="1:16" ht="11.25">
      <c r="A58" s="2" t="s">
        <v>51</v>
      </c>
      <c r="B58" s="4"/>
      <c r="C58" s="46">
        <f>C33/C28</f>
        <v>0.0691379333963479</v>
      </c>
      <c r="D58" s="34">
        <f>(D33/0.75)/D28</f>
        <v>0.061147879092515685</v>
      </c>
      <c r="E58" s="34">
        <f>(E33/0.5)/E28</f>
        <v>0.07536828695645734</v>
      </c>
      <c r="F58" s="35">
        <f>((F33)/0.25)/F28</f>
        <v>0.06857481498204497</v>
      </c>
      <c r="G58" s="46">
        <f>G33/G28</f>
        <v>0.06623246013121976</v>
      </c>
      <c r="H58" s="46">
        <f>(H33/0.75)/H28</f>
        <v>0.05659670440270054</v>
      </c>
      <c r="I58" s="41">
        <f>(I33/0.5)/I28</f>
        <v>0.06373428298931637</v>
      </c>
      <c r="J58" s="41">
        <f>((J33)/0.25)/J28</f>
        <v>0.08981311962416663</v>
      </c>
      <c r="K58" s="47">
        <f>K33/K28</f>
        <v>0.06647034076567102</v>
      </c>
      <c r="L58" s="46">
        <f>(L33/0.75)/L28</f>
        <v>0.061845864205426926</v>
      </c>
      <c r="M58" s="46">
        <f>(M33/0.5)/M28</f>
        <v>0.0568081707730287</v>
      </c>
      <c r="N58" s="34">
        <f>((N33)/0.25)/N28</f>
        <v>0.05747400503830564</v>
      </c>
      <c r="O58" s="41">
        <f>O33/O28</f>
        <v>0.09357789190511127</v>
      </c>
      <c r="P58" s="41">
        <f>P33/P27</f>
        <v>0.06467320485563405</v>
      </c>
    </row>
    <row r="59" spans="1:16" ht="11.25">
      <c r="A59" s="2" t="s">
        <v>52</v>
      </c>
      <c r="B59" s="4"/>
      <c r="C59" s="46">
        <f>C34/C28</f>
        <v>0.05615145412950862</v>
      </c>
      <c r="D59" s="34">
        <f>(D34/0.75)/D28</f>
        <v>0.04841405667189264</v>
      </c>
      <c r="E59" s="34">
        <f>(E34/0.5)/E28</f>
        <v>0.060703466970825896</v>
      </c>
      <c r="F59" s="35">
        <f>((F34)/0.25)/F28</f>
        <v>0.054634091277876155</v>
      </c>
      <c r="G59" s="46">
        <f>G34/G28</f>
        <v>0.05721309643535591</v>
      </c>
      <c r="H59" s="46">
        <f>(H34/0.75)/H28</f>
        <v>0.05183623393892199</v>
      </c>
      <c r="I59" s="41">
        <f>(I34/0.5)/I28</f>
        <v>0.05652436410090386</v>
      </c>
      <c r="J59" s="41">
        <f>((J34)/0.25)/J28</f>
        <v>0.07848284914850254</v>
      </c>
      <c r="K59" s="47">
        <f>K34/K28</f>
        <v>0.06085401766933109</v>
      </c>
      <c r="L59" s="46">
        <f>(L34/0.75)/L28</f>
        <v>0.055023664505210124</v>
      </c>
      <c r="M59" s="46">
        <f>(M34/0.5)/M28</f>
        <v>0.049837843070816595</v>
      </c>
      <c r="N59" s="34">
        <f>((N34)/0.25)/N28</f>
        <v>0.04362384798001265</v>
      </c>
      <c r="O59" s="41">
        <f>O34/O28</f>
        <v>0.06440694546343849</v>
      </c>
      <c r="P59" s="41">
        <f>P34/P27</f>
        <v>0.05293581666944262</v>
      </c>
    </row>
    <row r="60" spans="1:16" ht="11.25">
      <c r="A60" s="2" t="s">
        <v>53</v>
      </c>
      <c r="B60" s="4"/>
      <c r="C60" s="46">
        <f>C35/C28</f>
        <v>0.012986479266839272</v>
      </c>
      <c r="D60" s="34">
        <f>(D35/0.75)/D28</f>
        <v>0.012733822420623047</v>
      </c>
      <c r="E60" s="34">
        <f>(E35/0.5)/E28</f>
        <v>0.014664819985631438</v>
      </c>
      <c r="F60" s="35">
        <f>((F35)/0.25)/F28</f>
        <v>0.013940723704168812</v>
      </c>
      <c r="G60" s="46">
        <f>G35/G28</f>
        <v>0.009019363695863864</v>
      </c>
      <c r="H60" s="46">
        <f>(H35/0.75)/H28</f>
        <v>0.00476047046377855</v>
      </c>
      <c r="I60" s="41">
        <f>(I35/0.5)/I28</f>
        <v>0.007209918888412505</v>
      </c>
      <c r="J60" s="41">
        <f>((J35)/0.25)/J28</f>
        <v>0.011330270475664098</v>
      </c>
      <c r="K60" s="47">
        <f>K35/K28</f>
        <v>0.005616323096339924</v>
      </c>
      <c r="L60" s="46">
        <f>(L35/0.75)/L28</f>
        <v>0.006822199700216802</v>
      </c>
      <c r="M60" s="46">
        <f>(M35/0.5)/M28</f>
        <v>0.006970327702212111</v>
      </c>
      <c r="N60" s="34">
        <f>((N35)/0.25)/N28</f>
        <v>0.013850157058292989</v>
      </c>
      <c r="O60" s="41">
        <f>O35/O28</f>
        <v>0.02917094644167278</v>
      </c>
      <c r="P60" s="41">
        <f>P35/P27</f>
        <v>0.011737388186191423</v>
      </c>
    </row>
    <row r="61" spans="1:16" ht="11.25">
      <c r="A61" s="2" t="s">
        <v>54</v>
      </c>
      <c r="B61" s="4"/>
      <c r="C61" s="46">
        <f>C38/C37</f>
        <v>0.26563106796116503</v>
      </c>
      <c r="D61" s="34">
        <f>(D38/0.75)/(D37/0.75)</f>
        <v>0.47905282331511845</v>
      </c>
      <c r="E61" s="34">
        <f>(E38/0.5)/(E37/0.5)</f>
        <v>0.533625730994152</v>
      </c>
      <c r="F61" s="35">
        <f>(F38/0.25)/(F37/0.25)</f>
        <v>0.6153846153846154</v>
      </c>
      <c r="G61" s="46">
        <f>G38/G37</f>
        <v>0.371147124245313</v>
      </c>
      <c r="H61" s="46">
        <f>(H38/0.75)/(H37/0.75)</f>
        <v>0.4165247018739353</v>
      </c>
      <c r="I61" s="41">
        <f>(I38/0.5)/(I37/0.5)</f>
        <v>0.4712507409602845</v>
      </c>
      <c r="J61" s="41">
        <f>(J38/0.25)/(J37/0.25)</f>
        <v>0.9653179190751445</v>
      </c>
      <c r="K61" s="47">
        <f>K38/K37</f>
        <v>0.6047711154094133</v>
      </c>
      <c r="L61" s="46">
        <f>(L38/0.75)/(L37/0.75)</f>
        <v>0.3474747474747475</v>
      </c>
      <c r="M61" s="46">
        <f>(M38/0.5)/(M37/0.5)</f>
        <v>0.29698089956869994</v>
      </c>
      <c r="N61" s="34">
        <f>(N38/0.25)/(N37/0.25)</f>
        <v>0.3208053691275168</v>
      </c>
      <c r="O61" s="41">
        <f>O38/O37</f>
        <v>0.7657127923690056</v>
      </c>
      <c r="P61" s="41">
        <f>P38/P37</f>
        <v>0.8673208485937393</v>
      </c>
    </row>
    <row r="62" spans="1:16" ht="11.25">
      <c r="A62" s="3" t="s">
        <v>55</v>
      </c>
      <c r="B62" s="3"/>
      <c r="C62" s="48">
        <f>C36/C28</f>
        <v>0.02228797654762394</v>
      </c>
      <c r="D62" s="37">
        <f>(D36/0.75)/D28</f>
        <v>0.004787151285948514</v>
      </c>
      <c r="E62" s="37">
        <f>(E36/0.5)/E28</f>
        <v>0.005599294903604731</v>
      </c>
      <c r="F62" s="38">
        <f>(F36/0.25)/F28</f>
        <v>0.002934889200877645</v>
      </c>
      <c r="G62" s="48">
        <f>G36/G28</f>
        <v>0.041217693916319464</v>
      </c>
      <c r="H62" s="48">
        <f>(H36/0.75)/H28</f>
        <v>0.04123782027264958</v>
      </c>
      <c r="I62" s="37">
        <f>(I36/0.5)/I28</f>
        <v>0.0518344168628103</v>
      </c>
      <c r="J62" s="37">
        <f>(J36/0.25)/J28</f>
        <v>0.00460580100636752</v>
      </c>
      <c r="K62" s="49">
        <f>K36/K28</f>
        <v>0.09225915018931426</v>
      </c>
      <c r="L62" s="48">
        <f>(L36/0.75)/L28</f>
        <v>0.04513147493989577</v>
      </c>
      <c r="M62" s="48">
        <f>(M36/0.5)/M28</f>
        <v>0.055878793746067086</v>
      </c>
      <c r="N62" s="37">
        <f>(N36/0.25)/N28</f>
        <v>0.047936471734690705</v>
      </c>
      <c r="O62" s="37">
        <f>O36/O28</f>
        <v>0.12055759354365371</v>
      </c>
      <c r="P62" s="37">
        <f>P36/P27</f>
        <v>0.13004203121479027</v>
      </c>
    </row>
    <row r="63" spans="1:14" ht="11.25">
      <c r="A63" s="11" t="s">
        <v>56</v>
      </c>
      <c r="E63" s="18"/>
      <c r="F63" s="26"/>
      <c r="K63" s="30"/>
      <c r="L63" s="4"/>
      <c r="M63" s="4"/>
      <c r="N63" s="4"/>
    </row>
    <row r="64" spans="1:16" ht="11.25">
      <c r="A64" s="2" t="s">
        <v>57</v>
      </c>
      <c r="C64" s="2">
        <v>6</v>
      </c>
      <c r="D64" s="17">
        <v>6</v>
      </c>
      <c r="E64" s="18">
        <v>7</v>
      </c>
      <c r="F64" s="26">
        <v>7</v>
      </c>
      <c r="G64" s="2">
        <v>7</v>
      </c>
      <c r="H64" s="17">
        <v>7</v>
      </c>
      <c r="I64" s="17">
        <v>7</v>
      </c>
      <c r="J64" s="2">
        <v>6</v>
      </c>
      <c r="K64" s="19">
        <v>7</v>
      </c>
      <c r="L64" s="18">
        <v>7</v>
      </c>
      <c r="M64" s="18">
        <v>7</v>
      </c>
      <c r="N64" s="18">
        <v>7</v>
      </c>
      <c r="O64" s="17">
        <v>11</v>
      </c>
      <c r="P64" s="17">
        <v>16</v>
      </c>
    </row>
    <row r="65" spans="1:16" ht="11.25">
      <c r="A65" s="2" t="s">
        <v>58</v>
      </c>
      <c r="C65" s="2">
        <v>1</v>
      </c>
      <c r="D65" s="17">
        <v>1</v>
      </c>
      <c r="E65" s="18">
        <v>1</v>
      </c>
      <c r="F65" s="26">
        <v>1</v>
      </c>
      <c r="G65" s="2">
        <v>1</v>
      </c>
      <c r="H65" s="17">
        <v>1</v>
      </c>
      <c r="I65" s="17">
        <v>1</v>
      </c>
      <c r="J65" s="2">
        <v>1</v>
      </c>
      <c r="K65" s="19">
        <v>1</v>
      </c>
      <c r="L65" s="18">
        <v>1</v>
      </c>
      <c r="M65" s="18">
        <v>1</v>
      </c>
      <c r="N65" s="18">
        <v>1</v>
      </c>
      <c r="O65" s="17">
        <v>1</v>
      </c>
      <c r="P65" s="17">
        <v>1</v>
      </c>
    </row>
    <row r="66" spans="1:16" ht="11.25">
      <c r="A66" s="2" t="s">
        <v>59</v>
      </c>
      <c r="C66" s="18">
        <f aca="true" t="shared" si="20" ref="C66:P66">C12/C64</f>
        <v>2751.5</v>
      </c>
      <c r="D66" s="18">
        <f t="shared" si="20"/>
        <v>4364.666666666667</v>
      </c>
      <c r="E66" s="18">
        <f t="shared" si="20"/>
        <v>2543.285714285714</v>
      </c>
      <c r="F66" s="27">
        <f t="shared" si="20"/>
        <v>2963.285714285714</v>
      </c>
      <c r="G66" s="17">
        <f t="shared" si="20"/>
        <v>3822.8571428571427</v>
      </c>
      <c r="H66" s="17">
        <f t="shared" si="20"/>
        <v>2408.4285714285716</v>
      </c>
      <c r="I66" s="17">
        <f t="shared" si="20"/>
        <v>902.2857142857143</v>
      </c>
      <c r="J66" s="17">
        <f t="shared" si="20"/>
        <v>1468</v>
      </c>
      <c r="K66" s="19">
        <f t="shared" si="20"/>
        <v>1701</v>
      </c>
      <c r="L66" s="18">
        <f t="shared" si="20"/>
        <v>1979.5714285714287</v>
      </c>
      <c r="M66" s="18">
        <f t="shared" si="20"/>
        <v>1780.2857142857142</v>
      </c>
      <c r="N66" s="18">
        <f t="shared" si="20"/>
        <v>395.42857142857144</v>
      </c>
      <c r="O66" s="17">
        <f t="shared" si="20"/>
        <v>1642.8181818181818</v>
      </c>
      <c r="P66" s="17">
        <f t="shared" si="20"/>
        <v>892.8125</v>
      </c>
    </row>
    <row r="67" spans="1:16" ht="11.25">
      <c r="A67" s="2" t="s">
        <v>60</v>
      </c>
      <c r="C67" s="18">
        <f aca="true" t="shared" si="21" ref="C67:P67">+C16/C64</f>
        <v>10518.166666666666</v>
      </c>
      <c r="D67" s="18">
        <f t="shared" si="21"/>
        <v>13395.166666666666</v>
      </c>
      <c r="E67" s="18">
        <f t="shared" si="21"/>
        <v>9452.142857142857</v>
      </c>
      <c r="F67" s="27">
        <f t="shared" si="21"/>
        <v>10163.42857142857</v>
      </c>
      <c r="G67" s="17">
        <f t="shared" si="21"/>
        <v>9740.57142857143</v>
      </c>
      <c r="H67" s="17">
        <f t="shared" si="21"/>
        <v>9223.285714285714</v>
      </c>
      <c r="I67" s="17">
        <f t="shared" si="21"/>
        <v>7516</v>
      </c>
      <c r="J67" s="17">
        <f t="shared" si="21"/>
        <v>8946.166666666666</v>
      </c>
      <c r="K67" s="19">
        <f t="shared" si="21"/>
        <v>6820.857142857143</v>
      </c>
      <c r="L67" s="18">
        <f t="shared" si="21"/>
        <v>6699.285714285715</v>
      </c>
      <c r="M67" s="18">
        <f t="shared" si="21"/>
        <v>7424</v>
      </c>
      <c r="N67" s="18">
        <f t="shared" si="21"/>
        <v>9407.857142857143</v>
      </c>
      <c r="O67" s="17">
        <f t="shared" si="21"/>
        <v>4631.090909090909</v>
      </c>
      <c r="P67" s="17">
        <f t="shared" si="21"/>
        <v>4113.875</v>
      </c>
    </row>
    <row r="68" spans="1:16" ht="11.25">
      <c r="A68" s="3" t="s">
        <v>61</v>
      </c>
      <c r="B68" s="3"/>
      <c r="C68" s="24">
        <f aca="true" t="shared" si="22" ref="C68:P68">+C40/C64</f>
        <v>315.1666666666667</v>
      </c>
      <c r="D68" s="24">
        <f t="shared" si="22"/>
        <v>95.33333333333333</v>
      </c>
      <c r="E68" s="24">
        <f t="shared" si="22"/>
        <v>45.57142857142857</v>
      </c>
      <c r="F68" s="28">
        <f t="shared" si="22"/>
        <v>16.428571428571427</v>
      </c>
      <c r="G68" s="24">
        <f t="shared" si="22"/>
        <v>282.7142857142857</v>
      </c>
      <c r="H68" s="24">
        <f t="shared" si="22"/>
        <v>195.71428571428572</v>
      </c>
      <c r="I68" s="24">
        <f t="shared" si="22"/>
        <v>127.42857142857143</v>
      </c>
      <c r="J68" s="24">
        <f t="shared" si="22"/>
        <v>1</v>
      </c>
      <c r="K68" s="25">
        <f t="shared" si="22"/>
        <v>208.42857142857142</v>
      </c>
      <c r="L68" s="24">
        <f t="shared" si="22"/>
        <v>177.42857142857142</v>
      </c>
      <c r="M68" s="24">
        <f t="shared" si="22"/>
        <v>161.28571428571428</v>
      </c>
      <c r="N68" s="24">
        <f t="shared" si="22"/>
        <v>72.28571428571429</v>
      </c>
      <c r="O68" s="24">
        <f t="shared" si="22"/>
        <v>153.45454545454547</v>
      </c>
      <c r="P68" s="24">
        <f t="shared" si="22"/>
        <v>120</v>
      </c>
    </row>
    <row r="69" spans="1:16" ht="11.25">
      <c r="A69" s="11" t="s">
        <v>62</v>
      </c>
      <c r="B69" s="5"/>
      <c r="C69" s="4"/>
      <c r="E69" s="18"/>
      <c r="F69" s="40"/>
      <c r="G69" s="4"/>
      <c r="H69" s="4"/>
      <c r="J69" s="40"/>
      <c r="K69" s="5"/>
      <c r="L69" s="5"/>
      <c r="M69" s="5"/>
      <c r="N69" s="4"/>
      <c r="O69" s="5"/>
      <c r="P69" s="5"/>
    </row>
    <row r="70" spans="1:16" ht="11.25">
      <c r="A70" s="2" t="s">
        <v>63</v>
      </c>
      <c r="B70" s="4"/>
      <c r="C70" s="34">
        <f aca="true" t="shared" si="23" ref="C70:I70">(C10/G10)-1</f>
        <v>0.010799382892406229</v>
      </c>
      <c r="D70" s="34">
        <f t="shared" si="23"/>
        <v>-0.01480976917414667</v>
      </c>
      <c r="E70" s="34">
        <f t="shared" si="23"/>
        <v>0.007033231364551362</v>
      </c>
      <c r="F70" s="35">
        <f t="shared" si="23"/>
        <v>0.3679749258893281</v>
      </c>
      <c r="G70" s="41">
        <f t="shared" si="23"/>
        <v>0.4527750568625173</v>
      </c>
      <c r="H70" s="41">
        <f t="shared" si="23"/>
        <v>0.25299065291906997</v>
      </c>
      <c r="I70" s="41">
        <f t="shared" si="23"/>
        <v>0.038107645957169645</v>
      </c>
      <c r="J70" s="35">
        <f>+(J10/N10)-1</f>
        <v>-0.25646324103411855</v>
      </c>
      <c r="K70" s="34">
        <f>+(K10/O10)-1</f>
        <v>-0.16498461197216296</v>
      </c>
      <c r="L70" s="34">
        <f>(L10/74499)-1</f>
        <v>-0.024913086081692404</v>
      </c>
      <c r="M70" s="34">
        <f>(M10/81406)-1</f>
        <v>-0.0948333046704174</v>
      </c>
      <c r="N70" s="34">
        <f>(N10/75710)-1</f>
        <v>0.1505481442345793</v>
      </c>
      <c r="O70" s="34">
        <f>(O10/P10)-1</f>
        <v>-0.23160339170821087</v>
      </c>
      <c r="P70" s="34">
        <f>(P10/110258)-1</f>
        <v>-0.14857878793375534</v>
      </c>
    </row>
    <row r="71" spans="1:16" ht="11.25">
      <c r="A71" s="2" t="s">
        <v>64</v>
      </c>
      <c r="B71" s="4"/>
      <c r="C71" s="34">
        <f aca="true" t="shared" si="24" ref="C71:I71">(C12/G12)-1</f>
        <v>-0.3830717488789238</v>
      </c>
      <c r="D71" s="34">
        <f t="shared" si="24"/>
        <v>0.5533542914763627</v>
      </c>
      <c r="E71" s="34">
        <f t="shared" si="24"/>
        <v>1.8187143761874602</v>
      </c>
      <c r="F71" s="35">
        <f t="shared" si="24"/>
        <v>1.3550181653042688</v>
      </c>
      <c r="G71" s="41">
        <f t="shared" si="24"/>
        <v>1.2474174855127238</v>
      </c>
      <c r="H71" s="41">
        <f t="shared" si="24"/>
        <v>0.21664140867431625</v>
      </c>
      <c r="I71" s="41">
        <f t="shared" si="24"/>
        <v>-0.49317926496549513</v>
      </c>
      <c r="J71" s="35">
        <f aca="true" t="shared" si="25" ref="J71:P71">SUM(J72:J73)</f>
        <v>3.3560830860534123</v>
      </c>
      <c r="K71" s="34">
        <f t="shared" si="25"/>
        <v>-0.3122111829944547</v>
      </c>
      <c r="L71" s="34">
        <f t="shared" si="25"/>
        <v>-1.1539566151578606</v>
      </c>
      <c r="M71" s="34">
        <f t="shared" si="25"/>
        <v>-1.1383953593436638</v>
      </c>
      <c r="N71" s="34">
        <f t="shared" si="25"/>
        <v>-1.4297810037055332</v>
      </c>
      <c r="O71" s="34">
        <f t="shared" si="25"/>
        <v>0.023349863173111607</v>
      </c>
      <c r="P71" s="34">
        <f t="shared" si="25"/>
        <v>-0.8808371924270936</v>
      </c>
    </row>
    <row r="72" spans="2:16" ht="11.25">
      <c r="B72" s="4" t="s">
        <v>15</v>
      </c>
      <c r="C72" s="34">
        <v>0</v>
      </c>
      <c r="D72" s="34">
        <v>0</v>
      </c>
      <c r="E72" s="34">
        <v>0</v>
      </c>
      <c r="F72" s="35">
        <v>0</v>
      </c>
      <c r="G72" s="41">
        <v>0</v>
      </c>
      <c r="H72" s="41">
        <v>0</v>
      </c>
      <c r="I72" s="41">
        <v>0</v>
      </c>
      <c r="J72" s="35">
        <v>0</v>
      </c>
      <c r="K72" s="41">
        <v>0</v>
      </c>
      <c r="L72" s="34">
        <f>(L13/1462)-1</f>
        <v>-0.5451436388508892</v>
      </c>
      <c r="M72" s="34">
        <f>(M13/1462)-1</f>
        <v>-0.4856361149110807</v>
      </c>
      <c r="N72" s="34">
        <f>(N13/1462)-1</f>
        <v>-0.4897400820793434</v>
      </c>
      <c r="O72" s="34">
        <f>(O13/P13)-1</f>
        <v>-0.28598306679209784</v>
      </c>
      <c r="P72" s="34">
        <f>(P13/1462)-1</f>
        <v>-0.27291381668946646</v>
      </c>
    </row>
    <row r="73" spans="2:16" ht="11.25">
      <c r="B73" s="4" t="s">
        <v>16</v>
      </c>
      <c r="C73" s="34">
        <f aca="true" t="shared" si="26" ref="C73:I73">(C14/G14)-1</f>
        <v>-0.3830717488789238</v>
      </c>
      <c r="D73" s="34">
        <f t="shared" si="26"/>
        <v>0.5533542914763627</v>
      </c>
      <c r="E73" s="34">
        <f t="shared" si="26"/>
        <v>1.8187143761874602</v>
      </c>
      <c r="F73" s="35">
        <f t="shared" si="26"/>
        <v>1.3550181653042688</v>
      </c>
      <c r="G73" s="41">
        <f t="shared" si="26"/>
        <v>1.2474174855127238</v>
      </c>
      <c r="H73" s="50">
        <f t="shared" si="26"/>
        <v>0.2779714978775014</v>
      </c>
      <c r="I73" s="50">
        <f t="shared" si="26"/>
        <v>-0.46063193851409057</v>
      </c>
      <c r="J73" s="35">
        <f>+(J14/N14)-1</f>
        <v>3.3560830860534123</v>
      </c>
      <c r="K73" s="34">
        <f>+(K14/O14)-1</f>
        <v>-0.3122111829944547</v>
      </c>
      <c r="L73" s="34">
        <f>(L14/33723)-1</f>
        <v>-0.6088129763069715</v>
      </c>
      <c r="M73" s="34">
        <f>(M14/33723)-1</f>
        <v>-0.6527592444325832</v>
      </c>
      <c r="N73" s="34">
        <f>(N14/33723)-1</f>
        <v>-0.9400409216261898</v>
      </c>
      <c r="O73" s="34">
        <f>(O14/P14)-1</f>
        <v>0.30933292996520945</v>
      </c>
      <c r="P73" s="34">
        <f>(P14/33723)-1</f>
        <v>-0.6079233757376271</v>
      </c>
    </row>
    <row r="74" spans="1:16" ht="11.25">
      <c r="A74" s="2" t="s">
        <v>65</v>
      </c>
      <c r="B74" s="4"/>
      <c r="C74" s="34">
        <f aca="true" t="shared" si="27" ref="C74:I74">(C16/G16)-1</f>
        <v>-0.07443095154288393</v>
      </c>
      <c r="D74" s="34">
        <f t="shared" si="27"/>
        <v>0.24484611929433275</v>
      </c>
      <c r="E74" s="34">
        <f t="shared" si="27"/>
        <v>0.2576028282521099</v>
      </c>
      <c r="F74" s="35">
        <f t="shared" si="27"/>
        <v>0.3254093932224229</v>
      </c>
      <c r="G74" s="41">
        <f t="shared" si="27"/>
        <v>0.4280568005696812</v>
      </c>
      <c r="H74" s="50">
        <f t="shared" si="27"/>
        <v>0.3767565838575542</v>
      </c>
      <c r="I74" s="50">
        <f t="shared" si="27"/>
        <v>0.012392241379310276</v>
      </c>
      <c r="J74" s="35">
        <f>SUM(J75:J76)</f>
        <v>-1.1789620202823623</v>
      </c>
      <c r="K74" s="34">
        <f>SUM(K75:K76)</f>
        <v>-1.0523766994145083</v>
      </c>
      <c r="L74" s="34">
        <f>L75+L76</f>
        <v>-1.0991889912200277</v>
      </c>
      <c r="M74" s="34">
        <f>M75+M76</f>
        <v>-0.5385844695144758</v>
      </c>
      <c r="N74" s="34">
        <f>N75+N76</f>
        <v>-0.3823383858175522</v>
      </c>
      <c r="O74" s="34">
        <f>O75+O76</f>
        <v>-0.9060901125596568</v>
      </c>
      <c r="P74" s="34">
        <f>P75+P76</f>
        <v>-0.44360668476049014</v>
      </c>
    </row>
    <row r="75" spans="2:16" ht="11.25">
      <c r="B75" s="4" t="s">
        <v>15</v>
      </c>
      <c r="C75" s="34">
        <v>0</v>
      </c>
      <c r="D75" s="34">
        <v>0</v>
      </c>
      <c r="E75" s="34">
        <v>0</v>
      </c>
      <c r="F75" s="35">
        <v>0</v>
      </c>
      <c r="G75" s="34">
        <v>0</v>
      </c>
      <c r="H75" s="51">
        <f>(H17/648)-1</f>
        <v>-1</v>
      </c>
      <c r="I75" s="51">
        <f>(I17/648)-1</f>
        <v>-1</v>
      </c>
      <c r="J75" s="51">
        <f>(J17/648)-1</f>
        <v>-1</v>
      </c>
      <c r="K75" s="46">
        <f>(K17/648)-1</f>
        <v>-1</v>
      </c>
      <c r="L75" s="34">
        <f>(L17/648)-1</f>
        <v>-0.9305555555555556</v>
      </c>
      <c r="M75" s="34">
        <f>(M17/647)-1</f>
        <v>-0.3508500772797527</v>
      </c>
      <c r="N75" s="34">
        <f>(N17/988)-1</f>
        <v>-0.5161943319838056</v>
      </c>
      <c r="O75" s="34">
        <f>(O17/P17)-1</f>
        <v>-0.6932819383259912</v>
      </c>
      <c r="P75" s="34">
        <f>(P17/2612)-1</f>
        <v>-0.3047473200612557</v>
      </c>
    </row>
    <row r="76" spans="2:16" ht="11.25">
      <c r="B76" s="4" t="s">
        <v>16</v>
      </c>
      <c r="C76" s="34">
        <f aca="true" t="shared" si="28" ref="C76:I76">(C21/G21)-1</f>
        <v>-0.07443095154288393</v>
      </c>
      <c r="D76" s="34">
        <f t="shared" si="28"/>
        <v>0.24484611929433275</v>
      </c>
      <c r="E76" s="34">
        <f t="shared" si="28"/>
        <v>0.2576028282521099</v>
      </c>
      <c r="F76" s="35">
        <f t="shared" si="28"/>
        <v>0.3254093932224229</v>
      </c>
      <c r="G76" s="41">
        <f t="shared" si="28"/>
        <v>0.4280568005696812</v>
      </c>
      <c r="H76" s="41">
        <f t="shared" si="28"/>
        <v>0.37807897545357516</v>
      </c>
      <c r="I76" s="41">
        <f t="shared" si="28"/>
        <v>0.02064095600217275</v>
      </c>
      <c r="J76" s="35">
        <f>+(J21/N21)-1</f>
        <v>-0.1789620202823623</v>
      </c>
      <c r="K76" s="34">
        <f>+(K21/O21)-1</f>
        <v>-0.05237669941450829</v>
      </c>
      <c r="L76" s="34">
        <f>(L21/56353)-1</f>
        <v>-0.1686334356644722</v>
      </c>
      <c r="M76" s="34">
        <f>(M21/63462)-1</f>
        <v>-0.1877343922347231</v>
      </c>
      <c r="N76" s="34">
        <f>(N21/57659)-1</f>
        <v>0.1338559461662534</v>
      </c>
      <c r="O76" s="34">
        <f>(O21/P21)-1</f>
        <v>-0.2128081742336656</v>
      </c>
      <c r="P76" s="34">
        <f>(P21/74327)-1</f>
        <v>-0.13885936469923443</v>
      </c>
    </row>
    <row r="77" spans="1:16" ht="11.25">
      <c r="A77" s="2" t="s">
        <v>66</v>
      </c>
      <c r="B77" s="4"/>
      <c r="C77" s="34">
        <f aca="true" t="shared" si="29" ref="C77:I77">(C25/G25)-1</f>
        <v>0.32915079542908354</v>
      </c>
      <c r="D77" s="34">
        <f t="shared" si="29"/>
        <v>-0.6909900513478819</v>
      </c>
      <c r="E77" s="34">
        <f t="shared" si="29"/>
        <v>-0.5759065765212047</v>
      </c>
      <c r="F77" s="35">
        <f t="shared" si="29"/>
        <v>3.0758132214060865</v>
      </c>
      <c r="G77" s="41">
        <f t="shared" si="29"/>
        <v>3.6904887020493957</v>
      </c>
      <c r="H77" s="41">
        <f t="shared" si="29"/>
        <v>1.4712996926737385</v>
      </c>
      <c r="I77" s="41">
        <f t="shared" si="29"/>
        <v>1.0586918434884174</v>
      </c>
      <c r="J77" s="35">
        <f>+(J25/N25)-1</f>
        <v>-0.6281701131486539</v>
      </c>
      <c r="K77" s="34">
        <f>+(K25/O25)-1</f>
        <v>-0.6211050273768044</v>
      </c>
      <c r="L77" s="34">
        <f>(L25/10214)-1</f>
        <v>-0.01243391423536322</v>
      </c>
      <c r="M77" s="34">
        <f>(M25/10061)-1</f>
        <v>0.021170857767617512</v>
      </c>
      <c r="N77" s="34">
        <f>(N25/10785)-1</f>
        <v>-0.049420491423273094</v>
      </c>
      <c r="O77" s="34">
        <f>(O25/P25)-1</f>
        <v>-0.12636980344407722</v>
      </c>
      <c r="P77" s="34">
        <f>(P25/13133)-1</f>
        <v>-0.12449554557222264</v>
      </c>
    </row>
    <row r="78" spans="1:16" ht="11.25">
      <c r="A78" s="3" t="s">
        <v>67</v>
      </c>
      <c r="B78" s="3"/>
      <c r="C78" s="37">
        <f aca="true" t="shared" si="30" ref="C78:I78">(C40/G40)-1</f>
        <v>-0.04446690247599794</v>
      </c>
      <c r="D78" s="37">
        <f t="shared" si="30"/>
        <v>-0.5824817518248175</v>
      </c>
      <c r="E78" s="37">
        <f t="shared" si="30"/>
        <v>-0.6423766816143498</v>
      </c>
      <c r="F78" s="38">
        <f t="shared" si="30"/>
        <v>18.166666666666668</v>
      </c>
      <c r="G78" s="37">
        <f t="shared" si="30"/>
        <v>0.3564084989718985</v>
      </c>
      <c r="H78" s="37">
        <f t="shared" si="30"/>
        <v>0.1030595813204509</v>
      </c>
      <c r="I78" s="37">
        <f t="shared" si="30"/>
        <v>-0.20992028343666957</v>
      </c>
      <c r="J78" s="38">
        <f>+(J40/N40)-1</f>
        <v>-0.9881422924901185</v>
      </c>
      <c r="K78" s="37">
        <f>+(K40/O40)-1</f>
        <v>-0.13566350710900477</v>
      </c>
      <c r="L78" s="37">
        <f>(L40/1559)-1</f>
        <v>-0.20333547145606157</v>
      </c>
      <c r="M78" s="37">
        <f>(M40/1209)-1</f>
        <v>-0.06617038875103387</v>
      </c>
      <c r="N78" s="37">
        <f>(N40/-446)-1</f>
        <v>-2.1345291479820627</v>
      </c>
      <c r="O78" s="37">
        <f>(O40/P40)-1</f>
        <v>-0.12083333333333335</v>
      </c>
      <c r="P78" s="37">
        <f>(P40/-11227)-1</f>
        <v>-1.171016299991093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2017-06-16T17:17:59Z</dcterms:created>
  <dcterms:modified xsi:type="dcterms:W3CDTF">2017-06-16T17:18:03Z</dcterms:modified>
  <cp:category/>
  <cp:version/>
  <cp:contentType/>
  <cp:contentStatus/>
</cp:coreProperties>
</file>