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Bogotá (Int)" sheetId="1" r:id="rId1"/>
  </sheets>
  <definedNames/>
  <calcPr fullCalcOnLoad="1"/>
</workbook>
</file>

<file path=xl/sharedStrings.xml><?xml version="1.0" encoding="utf-8"?>
<sst xmlns="http://schemas.openxmlformats.org/spreadsheetml/2006/main" count="103" uniqueCount="72">
  <si>
    <t>CUADRO No. 19-5</t>
  </si>
  <si>
    <t>BANCO DE BOGOTA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</si>
  <si>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</si>
  <si>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</si>
  <si>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</si>
  <si>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</si>
  <si>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</si>
  <si>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</si>
  <si>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</si>
  <si>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</si>
  <si>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</si>
  <si>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</si>
  <si>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</si>
  <si>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</si>
  <si>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</si>
  <si>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</si>
  <si>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</si>
  <si>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</si>
  <si>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</si>
  <si>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</si>
  <si>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</si>
  <si>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</si>
  <si>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</si>
  <si>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</si>
  <si>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N.A.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</si>
  <si>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</si>
  <si>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</si>
  <si>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</si>
  <si>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</si>
  <si>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</si>
  <si>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</si>
  <si>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</si>
  <si>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</si>
  <si>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</si>
  <si>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</si>
  <si>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</si>
  <si>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</si>
  <si>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</si>
  <si>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</si>
  <si>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 Vencidos</t>
  </si>
  <si>
    <t>ProvisionesCuentas Malas/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</si>
  <si>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</si>
  <si>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</si>
  <si>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</si>
  <si>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</si>
  <si>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</si>
  <si>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</si>
  <si>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</si>
  <si>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</si>
  <si>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</si>
  <si>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N.A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</si>
  <si>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</si>
  <si>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</si>
  <si>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</si>
  <si>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</si>
  <si>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N..A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</si>
  <si>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</si>
  <si>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</si>
  <si>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</si>
  <si>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</si>
  <si>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</si>
  <si>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</si>
  <si>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</si>
  <si>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</si>
  <si>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</si>
  <si>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</si>
  <si>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</si>
  <si>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</si>
  <si>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Utilidad Neta</t>
  </si>
  <si>
    <t>Nota:</t>
  </si>
  <si>
    <t>(1) El  número de empleados considerados corresponde a Lic. General</t>
  </si>
  <si>
    <r>
      <t xml:space="preserve">Número de Empleados </t>
    </r>
    <r>
      <rPr>
        <b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</si>
</sst>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201" fontId="2" fillId="0" borderId="0" xfId="46" applyNumberFormat="1" applyFont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2" fillId="0" borderId="11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5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43" fontId="3" fillId="0" borderId="0" xfId="46" applyFont="1" applyBorder="1" applyAlignment="1">
      <alignment/>
    </xf>
    <xf numFmtId="43" fontId="3" fillId="0" borderId="15" xfId="46" applyFont="1" applyBorder="1" applyAlignment="1">
      <alignment/>
    </xf>
    <xf numFmtId="43" fontId="3" fillId="0" borderId="0" xfId="46" applyFont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201" fontId="3" fillId="0" borderId="0" xfId="46" applyNumberFormat="1" applyFont="1" applyAlignment="1">
      <alignment horizontal="right"/>
    </xf>
    <xf numFmtId="201" fontId="3" fillId="0" borderId="10" xfId="46" applyNumberFormat="1" applyFont="1" applyBorder="1" applyAlignment="1">
      <alignment horizontal="right"/>
    </xf>
    <xf numFmtId="201" fontId="3" fillId="0" borderId="11" xfId="46" applyNumberFormat="1" applyFont="1" applyBorder="1" applyAlignment="1">
      <alignment/>
    </xf>
    <xf numFmtId="0" fontId="3" fillId="0" borderId="16" xfId="0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0" fontId="3" fillId="0" borderId="18" xfId="0" applyFont="1" applyBorder="1" applyAlignment="1">
      <alignment/>
    </xf>
    <xf numFmtId="204" fontId="3" fillId="0" borderId="15" xfId="52" applyNumberFormat="1" applyFont="1" applyBorder="1" applyAlignment="1">
      <alignment/>
    </xf>
    <xf numFmtId="204" fontId="3" fillId="0" borderId="0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204" fontId="3" fillId="0" borderId="17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0" xfId="52" applyNumberFormat="1" applyFont="1" applyAlignment="1">
      <alignment horizontal="right"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10" fontId="3" fillId="0" borderId="10" xfId="52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4" sqref="D14"/>
    </sheetView>
  </sheetViews>
  <sheetFormatPr defaultColWidth="11.421875" defaultRowHeight="12.75"/>
  <cols>
    <col min="1" max="1" width="2.7109375" style="2" customWidth="1"/>
    <col min="2" max="2" width="29.57421875" style="2" customWidth="1"/>
    <col min="3" max="3" width="7.8515625" style="2" customWidth="1"/>
    <col min="4" max="4" width="8.140625" style="2" customWidth="1"/>
    <col min="5" max="5" width="7.421875" style="2" customWidth="1"/>
    <col min="6" max="6" width="7.7109375" style="2" customWidth="1"/>
    <col min="7" max="7" width="7.57421875" style="2" customWidth="1"/>
    <col min="8" max="8" width="8.28125" style="2" customWidth="1"/>
    <col min="9" max="9" width="7.7109375" style="2" customWidth="1"/>
    <col min="10" max="11" width="7.57421875" style="2" customWidth="1"/>
    <col min="12" max="12" width="7.7109375" style="2" bestFit="1" customWidth="1"/>
    <col min="13" max="13" width="7.140625" style="2" customWidth="1"/>
    <col min="14" max="14" width="7.28125" style="2" customWidth="1"/>
    <col min="15" max="16" width="0.13671875" style="2" hidden="1" customWidth="1"/>
    <col min="17" max="61" width="11.421875" style="2" customWidth="1"/>
    <col min="62" max="16384" width="11.421875" style="1" customWidth="1"/>
  </cols>
  <sheetData>
    <row r="1" spans="2:16" ht="11.25">
      <c r="B1" s="54"/>
      <c r="C1" s="54"/>
      <c r="D1" s="54"/>
      <c r="E1" s="54"/>
      <c r="F1" s="54"/>
      <c r="G1" s="54" t="s">
        <v>0</v>
      </c>
      <c r="H1" s="54"/>
      <c r="I1" s="54"/>
      <c r="J1" s="54"/>
      <c r="K1" s="54"/>
      <c r="L1" s="54"/>
      <c r="M1" s="54"/>
      <c r="N1" s="54"/>
      <c r="O1" s="54"/>
      <c r="P1" s="54"/>
    </row>
    <row r="2" spans="2:16" ht="11.25">
      <c r="B2" s="54"/>
      <c r="C2" s="54"/>
      <c r="D2" s="54"/>
      <c r="E2" s="54"/>
      <c r="F2" s="54"/>
      <c r="G2" s="54" t="s">
        <v>1</v>
      </c>
      <c r="H2" s="54"/>
      <c r="I2" s="54"/>
      <c r="J2" s="54"/>
      <c r="K2" s="54"/>
      <c r="L2" s="54"/>
      <c r="M2" s="54"/>
      <c r="N2" s="54"/>
      <c r="O2" s="54"/>
      <c r="P2" s="54"/>
    </row>
    <row r="3" spans="2:16" ht="11.25">
      <c r="B3" s="54"/>
      <c r="C3" s="54"/>
      <c r="D3" s="54"/>
      <c r="E3" s="54"/>
      <c r="F3" s="54"/>
      <c r="G3" s="54" t="s">
        <v>2</v>
      </c>
      <c r="H3" s="54"/>
      <c r="I3" s="54"/>
      <c r="J3" s="54"/>
      <c r="K3" s="54"/>
      <c r="L3" s="54"/>
      <c r="M3" s="54"/>
      <c r="N3" s="54"/>
      <c r="O3" s="54"/>
      <c r="P3" s="54"/>
    </row>
    <row r="4" spans="1:16" ht="11.25">
      <c r="A4" s="1"/>
      <c r="B4" s="53"/>
      <c r="C4" s="53"/>
      <c r="D4" s="53"/>
      <c r="E4" s="53"/>
      <c r="F4" s="53"/>
      <c r="G4" s="53" t="s">
        <v>3</v>
      </c>
      <c r="H4" s="53"/>
      <c r="I4" s="53"/>
      <c r="J4" s="53"/>
      <c r="K4" s="53"/>
      <c r="L4" s="53"/>
      <c r="M4" s="53"/>
      <c r="N4" s="53"/>
      <c r="O4" s="53"/>
      <c r="P4" s="53"/>
    </row>
    <row r="5" spans="1:16" ht="11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1.25">
      <c r="A6" s="3"/>
      <c r="B6" s="3"/>
      <c r="C6" s="4"/>
      <c r="D6" s="4"/>
      <c r="E6" s="4"/>
      <c r="F6" s="4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2.75" customHeight="1">
      <c r="A7" s="5"/>
      <c r="B7" s="5"/>
      <c r="C7" s="56">
        <v>2002</v>
      </c>
      <c r="D7" s="56"/>
      <c r="E7" s="56"/>
      <c r="F7" s="57"/>
      <c r="G7" s="56">
        <v>2001</v>
      </c>
      <c r="H7" s="56"/>
      <c r="I7" s="56"/>
      <c r="J7" s="56"/>
      <c r="K7" s="55">
        <v>2000</v>
      </c>
      <c r="L7" s="56"/>
      <c r="M7" s="56"/>
      <c r="N7" s="56"/>
      <c r="O7" s="56" t="s">
        <v>4</v>
      </c>
      <c r="P7" s="56"/>
    </row>
    <row r="8" spans="1:16" ht="11.25">
      <c r="A8" s="6"/>
      <c r="B8" s="6"/>
      <c r="C8" s="7" t="s">
        <v>5</v>
      </c>
      <c r="D8" s="7" t="s">
        <v>6</v>
      </c>
      <c r="E8" s="6" t="s">
        <v>7</v>
      </c>
      <c r="F8" s="8" t="s">
        <v>8</v>
      </c>
      <c r="G8" s="7" t="s">
        <v>5</v>
      </c>
      <c r="H8" s="7" t="s">
        <v>6</v>
      </c>
      <c r="I8" s="6" t="s">
        <v>7</v>
      </c>
      <c r="J8" s="6" t="s">
        <v>8</v>
      </c>
      <c r="K8" s="9" t="s">
        <v>5</v>
      </c>
      <c r="L8" s="6" t="s">
        <v>6</v>
      </c>
      <c r="M8" s="6" t="s">
        <v>7</v>
      </c>
      <c r="N8" s="7" t="s">
        <v>8</v>
      </c>
      <c r="O8" s="10" t="s">
        <v>9</v>
      </c>
      <c r="P8" s="10" t="s">
        <v>10</v>
      </c>
    </row>
    <row r="9" spans="1:16" ht="11.25">
      <c r="A9" s="11" t="s">
        <v>11</v>
      </c>
      <c r="B9" s="11"/>
      <c r="C9" s="11"/>
      <c r="D9" s="11"/>
      <c r="E9" s="12"/>
      <c r="F9" s="13"/>
      <c r="G9" s="14"/>
      <c r="H9" s="11"/>
      <c r="I9" s="11"/>
      <c r="J9" s="15"/>
      <c r="K9" s="16"/>
      <c r="L9" s="17"/>
      <c r="M9" s="17"/>
      <c r="N9" s="18"/>
      <c r="O9" s="15"/>
      <c r="P9" s="15"/>
    </row>
    <row r="10" spans="1:16" ht="11.25">
      <c r="A10" s="2" t="s">
        <v>12</v>
      </c>
      <c r="C10" s="19">
        <v>156093</v>
      </c>
      <c r="D10" s="19">
        <v>148091</v>
      </c>
      <c r="E10" s="20">
        <v>132538</v>
      </c>
      <c r="F10" s="21">
        <v>138320</v>
      </c>
      <c r="G10" s="20">
        <v>134039</v>
      </c>
      <c r="H10" s="19">
        <v>121178</v>
      </c>
      <c r="I10" s="19">
        <v>120933</v>
      </c>
      <c r="J10" s="19">
        <v>109944</v>
      </c>
      <c r="K10" s="22">
        <v>110184</v>
      </c>
      <c r="L10" s="20">
        <v>111250</v>
      </c>
      <c r="M10" s="20">
        <v>103509</v>
      </c>
      <c r="N10" s="20">
        <v>101634</v>
      </c>
      <c r="O10" s="19">
        <v>97877</v>
      </c>
      <c r="P10" s="19">
        <v>317161</v>
      </c>
    </row>
    <row r="11" spans="1:16" ht="11.25">
      <c r="A11" s="2" t="s">
        <v>13</v>
      </c>
      <c r="C11" s="19">
        <v>49166</v>
      </c>
      <c r="D11" s="19">
        <v>37769</v>
      </c>
      <c r="E11" s="20">
        <v>57058</v>
      </c>
      <c r="F11" s="21">
        <v>65189</v>
      </c>
      <c r="G11" s="20">
        <v>34514</v>
      </c>
      <c r="H11" s="19">
        <v>18353</v>
      </c>
      <c r="I11" s="19">
        <v>35010</v>
      </c>
      <c r="J11" s="19">
        <v>5447</v>
      </c>
      <c r="K11" s="22">
        <v>10764</v>
      </c>
      <c r="L11" s="20">
        <v>18198</v>
      </c>
      <c r="M11" s="20">
        <v>10750</v>
      </c>
      <c r="N11" s="20">
        <v>11936</v>
      </c>
      <c r="O11" s="19">
        <v>19304</v>
      </c>
      <c r="P11" s="19">
        <v>24011</v>
      </c>
    </row>
    <row r="12" spans="1:16" ht="11.25">
      <c r="A12" s="2" t="s">
        <v>14</v>
      </c>
      <c r="C12" s="20">
        <f aca="true" t="shared" si="0" ref="C12:P12">C13+C14</f>
        <v>20300</v>
      </c>
      <c r="D12" s="20">
        <f t="shared" si="0"/>
        <v>26944</v>
      </c>
      <c r="E12" s="20">
        <f t="shared" si="0"/>
        <v>16572</v>
      </c>
      <c r="F12" s="21">
        <f t="shared" si="0"/>
        <v>14438</v>
      </c>
      <c r="G12" s="20">
        <f t="shared" si="0"/>
        <v>15657</v>
      </c>
      <c r="H12" s="19">
        <f t="shared" si="0"/>
        <v>21147</v>
      </c>
      <c r="I12" s="19">
        <f t="shared" si="0"/>
        <v>22524</v>
      </c>
      <c r="J12" s="19">
        <f t="shared" si="0"/>
        <v>27588</v>
      </c>
      <c r="K12" s="22">
        <f t="shared" si="0"/>
        <v>26418</v>
      </c>
      <c r="L12" s="20">
        <f t="shared" si="0"/>
        <v>30769</v>
      </c>
      <c r="M12" s="20">
        <f t="shared" si="0"/>
        <v>31298</v>
      </c>
      <c r="N12" s="20">
        <f t="shared" si="0"/>
        <v>33056</v>
      </c>
      <c r="O12" s="19">
        <f t="shared" si="0"/>
        <v>34393</v>
      </c>
      <c r="P12" s="19">
        <f t="shared" si="0"/>
        <v>141893</v>
      </c>
    </row>
    <row r="13" spans="2:16" ht="11.25">
      <c r="B13" s="2" t="s">
        <v>15</v>
      </c>
      <c r="C13" s="20">
        <v>0</v>
      </c>
      <c r="D13" s="23">
        <v>0</v>
      </c>
      <c r="E13" s="23">
        <v>0</v>
      </c>
      <c r="F13" s="24">
        <v>0</v>
      </c>
      <c r="G13" s="23">
        <v>0</v>
      </c>
      <c r="H13" s="25">
        <v>0</v>
      </c>
      <c r="I13" s="19">
        <v>0</v>
      </c>
      <c r="J13" s="19">
        <v>0</v>
      </c>
      <c r="K13" s="22"/>
      <c r="L13" s="20">
        <v>0</v>
      </c>
      <c r="M13" s="20">
        <v>0</v>
      </c>
      <c r="N13" s="20">
        <v>0</v>
      </c>
      <c r="O13" s="19">
        <v>0</v>
      </c>
      <c r="P13" s="19">
        <v>0</v>
      </c>
    </row>
    <row r="14" spans="2:16" ht="11.25">
      <c r="B14" s="2" t="s">
        <v>16</v>
      </c>
      <c r="C14" s="19">
        <v>20300</v>
      </c>
      <c r="D14" s="19">
        <v>26944</v>
      </c>
      <c r="E14" s="20">
        <v>16572</v>
      </c>
      <c r="F14" s="21">
        <v>14438</v>
      </c>
      <c r="G14" s="20">
        <v>15657</v>
      </c>
      <c r="H14" s="19">
        <v>21147</v>
      </c>
      <c r="I14" s="19">
        <v>22524</v>
      </c>
      <c r="J14" s="19">
        <v>27588</v>
      </c>
      <c r="K14" s="22">
        <v>26418</v>
      </c>
      <c r="L14" s="20">
        <v>30769</v>
      </c>
      <c r="M14" s="20">
        <v>31298</v>
      </c>
      <c r="N14" s="20">
        <v>33056</v>
      </c>
      <c r="O14" s="19">
        <v>34393</v>
      </c>
      <c r="P14" s="19">
        <v>141893</v>
      </c>
    </row>
    <row r="15" spans="1:16" ht="11.25">
      <c r="A15" s="2" t="s">
        <v>17</v>
      </c>
      <c r="C15" s="19">
        <v>80130</v>
      </c>
      <c r="D15" s="19">
        <v>76117</v>
      </c>
      <c r="E15" s="20">
        <v>52953</v>
      </c>
      <c r="F15" s="21">
        <v>53083</v>
      </c>
      <c r="G15" s="20">
        <v>77791</v>
      </c>
      <c r="H15" s="19">
        <v>60939</v>
      </c>
      <c r="I15" s="19">
        <v>60814</v>
      </c>
      <c r="J15" s="19">
        <v>59959</v>
      </c>
      <c r="K15" s="22">
        <v>59820</v>
      </c>
      <c r="L15" s="20">
        <v>57869</v>
      </c>
      <c r="M15" s="20">
        <v>57730</v>
      </c>
      <c r="N15" s="20">
        <v>47461</v>
      </c>
      <c r="O15" s="19">
        <v>35614</v>
      </c>
      <c r="P15" s="19">
        <v>84161</v>
      </c>
    </row>
    <row r="16" spans="1:16" ht="11.25">
      <c r="A16" s="2" t="s">
        <v>18</v>
      </c>
      <c r="C16" s="20">
        <f aca="true" t="shared" si="1" ref="C16:P16">C17+C21</f>
        <v>134001</v>
      </c>
      <c r="D16" s="20">
        <f t="shared" si="1"/>
        <v>123236</v>
      </c>
      <c r="E16" s="20">
        <f t="shared" si="1"/>
        <v>114353</v>
      </c>
      <c r="F16" s="21">
        <f t="shared" si="1"/>
        <v>120204</v>
      </c>
      <c r="G16" s="20">
        <f t="shared" si="1"/>
        <v>110135</v>
      </c>
      <c r="H16" s="19">
        <f t="shared" si="1"/>
        <v>107956</v>
      </c>
      <c r="I16" s="19">
        <f t="shared" si="1"/>
        <v>105180</v>
      </c>
      <c r="J16" s="19">
        <f t="shared" si="1"/>
        <v>100232</v>
      </c>
      <c r="K16" s="22">
        <f t="shared" si="1"/>
        <v>98863</v>
      </c>
      <c r="L16" s="20">
        <f t="shared" si="1"/>
        <v>102085</v>
      </c>
      <c r="M16" s="20">
        <f t="shared" si="1"/>
        <v>93969</v>
      </c>
      <c r="N16" s="20">
        <f t="shared" si="1"/>
        <v>89537</v>
      </c>
      <c r="O16" s="19">
        <f t="shared" si="1"/>
        <v>89516</v>
      </c>
      <c r="P16" s="19">
        <f t="shared" si="1"/>
        <v>259851</v>
      </c>
    </row>
    <row r="17" spans="2:16" ht="11.25">
      <c r="B17" s="2" t="s">
        <v>15</v>
      </c>
      <c r="C17" s="20">
        <f aca="true" t="shared" si="2" ref="C17:P17">SUM(C18:C20)</f>
        <v>0</v>
      </c>
      <c r="D17" s="20">
        <f t="shared" si="2"/>
        <v>0</v>
      </c>
      <c r="E17" s="20">
        <f t="shared" si="2"/>
        <v>0</v>
      </c>
      <c r="F17" s="21">
        <f t="shared" si="2"/>
        <v>0</v>
      </c>
      <c r="G17" s="20">
        <f t="shared" si="2"/>
        <v>0</v>
      </c>
      <c r="H17" s="19">
        <f t="shared" si="2"/>
        <v>0</v>
      </c>
      <c r="I17" s="19">
        <f t="shared" si="2"/>
        <v>0</v>
      </c>
      <c r="J17" s="19">
        <f t="shared" si="2"/>
        <v>0</v>
      </c>
      <c r="K17" s="22">
        <f t="shared" si="2"/>
        <v>0</v>
      </c>
      <c r="L17" s="20">
        <f t="shared" si="2"/>
        <v>0</v>
      </c>
      <c r="M17" s="20">
        <f t="shared" si="2"/>
        <v>0</v>
      </c>
      <c r="N17" s="20">
        <f t="shared" si="2"/>
        <v>0</v>
      </c>
      <c r="O17" s="19">
        <f t="shared" si="2"/>
        <v>0</v>
      </c>
      <c r="P17" s="19">
        <f t="shared" si="2"/>
        <v>0</v>
      </c>
    </row>
    <row r="18" spans="2:16" ht="11.25">
      <c r="B18" s="2" t="s">
        <v>19</v>
      </c>
      <c r="C18" s="20">
        <v>0</v>
      </c>
      <c r="D18" s="20">
        <v>0</v>
      </c>
      <c r="E18" s="20">
        <v>0</v>
      </c>
      <c r="F18" s="21">
        <v>0</v>
      </c>
      <c r="G18" s="20">
        <v>0</v>
      </c>
      <c r="H18" s="19">
        <v>0</v>
      </c>
      <c r="I18" s="19">
        <v>0</v>
      </c>
      <c r="J18" s="19">
        <v>0</v>
      </c>
      <c r="K18" s="22">
        <v>0</v>
      </c>
      <c r="L18" s="20">
        <v>0</v>
      </c>
      <c r="M18" s="20">
        <v>0</v>
      </c>
      <c r="N18" s="20">
        <v>0</v>
      </c>
      <c r="O18" s="19">
        <v>0</v>
      </c>
      <c r="P18" s="19">
        <v>0</v>
      </c>
    </row>
    <row r="19" spans="2:16" ht="11.25">
      <c r="B19" s="2" t="s">
        <v>20</v>
      </c>
      <c r="C19" s="20">
        <v>0</v>
      </c>
      <c r="D19" s="20">
        <v>0</v>
      </c>
      <c r="E19" s="20">
        <v>0</v>
      </c>
      <c r="F19" s="21">
        <v>0</v>
      </c>
      <c r="G19" s="20">
        <v>0</v>
      </c>
      <c r="H19" s="19">
        <v>0</v>
      </c>
      <c r="I19" s="19">
        <v>0</v>
      </c>
      <c r="J19" s="19">
        <v>0</v>
      </c>
      <c r="K19" s="22">
        <v>0</v>
      </c>
      <c r="L19" s="20">
        <v>0</v>
      </c>
      <c r="M19" s="20">
        <v>0</v>
      </c>
      <c r="N19" s="20">
        <v>0</v>
      </c>
      <c r="O19" s="19">
        <v>0</v>
      </c>
      <c r="P19" s="19">
        <v>0</v>
      </c>
    </row>
    <row r="20" spans="2:16" ht="11.25">
      <c r="B20" s="2" t="s">
        <v>21</v>
      </c>
      <c r="C20" s="20">
        <v>0</v>
      </c>
      <c r="D20" s="20">
        <v>0</v>
      </c>
      <c r="E20" s="20">
        <v>0</v>
      </c>
      <c r="F20" s="21">
        <v>0</v>
      </c>
      <c r="G20" s="20">
        <v>0</v>
      </c>
      <c r="H20" s="19">
        <v>0</v>
      </c>
      <c r="I20" s="19">
        <v>0</v>
      </c>
      <c r="J20" s="19">
        <v>0</v>
      </c>
      <c r="K20" s="22">
        <v>0</v>
      </c>
      <c r="L20" s="20">
        <v>0</v>
      </c>
      <c r="M20" s="20">
        <v>0</v>
      </c>
      <c r="N20" s="20">
        <v>0</v>
      </c>
      <c r="O20" s="19">
        <v>0</v>
      </c>
      <c r="P20" s="19">
        <v>0</v>
      </c>
    </row>
    <row r="21" spans="2:16" ht="11.25">
      <c r="B21" s="2" t="s">
        <v>16</v>
      </c>
      <c r="C21" s="20">
        <f>+C22+C23+C24</f>
        <v>134001</v>
      </c>
      <c r="D21" s="20">
        <f>+D22+D23+D24</f>
        <v>123236</v>
      </c>
      <c r="E21" s="20">
        <f>+E22+E23+E24</f>
        <v>114353</v>
      </c>
      <c r="F21" s="21">
        <f>+F22+F23+F24</f>
        <v>120204</v>
      </c>
      <c r="G21" s="20">
        <f aca="true" t="shared" si="3" ref="G21:P21">SUM(G23:G24)</f>
        <v>110135</v>
      </c>
      <c r="H21" s="19">
        <f t="shared" si="3"/>
        <v>107956</v>
      </c>
      <c r="I21" s="19">
        <f t="shared" si="3"/>
        <v>105180</v>
      </c>
      <c r="J21" s="19">
        <f t="shared" si="3"/>
        <v>100232</v>
      </c>
      <c r="K21" s="22">
        <f t="shared" si="3"/>
        <v>98863</v>
      </c>
      <c r="L21" s="20">
        <f t="shared" si="3"/>
        <v>102085</v>
      </c>
      <c r="M21" s="20">
        <f t="shared" si="3"/>
        <v>93969</v>
      </c>
      <c r="N21" s="20">
        <f t="shared" si="3"/>
        <v>89537</v>
      </c>
      <c r="O21" s="19">
        <f t="shared" si="3"/>
        <v>89516</v>
      </c>
      <c r="P21" s="19">
        <f t="shared" si="3"/>
        <v>259851</v>
      </c>
    </row>
    <row r="22" spans="2:16" ht="11.25">
      <c r="B22" s="2" t="s">
        <v>19</v>
      </c>
      <c r="C22" s="20"/>
      <c r="D22" s="20">
        <v>5</v>
      </c>
      <c r="E22" s="20">
        <v>3</v>
      </c>
      <c r="F22" s="21">
        <v>3</v>
      </c>
      <c r="G22" s="20"/>
      <c r="H22" s="19"/>
      <c r="I22" s="19"/>
      <c r="J22" s="19"/>
      <c r="K22" s="22"/>
      <c r="L22" s="20"/>
      <c r="M22" s="20"/>
      <c r="N22" s="20"/>
      <c r="O22" s="19"/>
      <c r="P22" s="19"/>
    </row>
    <row r="23" spans="2:16" ht="11.25">
      <c r="B23" s="2" t="s">
        <v>20</v>
      </c>
      <c r="C23" s="19">
        <v>133012</v>
      </c>
      <c r="D23" s="19">
        <v>122289</v>
      </c>
      <c r="E23" s="20">
        <v>113570</v>
      </c>
      <c r="F23" s="21">
        <v>119577</v>
      </c>
      <c r="G23" s="20">
        <f>13556+95939</f>
        <v>109495</v>
      </c>
      <c r="H23" s="19">
        <f>10364+97209</f>
        <v>107573</v>
      </c>
      <c r="I23" s="19">
        <v>104806</v>
      </c>
      <c r="J23" s="19">
        <v>99782</v>
      </c>
      <c r="K23" s="22">
        <f>88884+9539</f>
        <v>98423</v>
      </c>
      <c r="L23" s="20">
        <v>101380</v>
      </c>
      <c r="M23" s="20">
        <v>93345</v>
      </c>
      <c r="N23" s="20">
        <v>89440</v>
      </c>
      <c r="O23" s="19">
        <v>88344</v>
      </c>
      <c r="P23" s="19">
        <v>259851</v>
      </c>
    </row>
    <row r="24" spans="2:16" ht="11.25">
      <c r="B24" s="2" t="s">
        <v>21</v>
      </c>
      <c r="C24" s="19">
        <v>989</v>
      </c>
      <c r="D24" s="19">
        <v>942</v>
      </c>
      <c r="E24" s="20">
        <v>780</v>
      </c>
      <c r="F24" s="21">
        <v>624</v>
      </c>
      <c r="G24" s="4">
        <f>586+51+3</f>
        <v>640</v>
      </c>
      <c r="H24" s="19">
        <f>330+3+50</f>
        <v>383</v>
      </c>
      <c r="I24" s="19">
        <v>374</v>
      </c>
      <c r="J24" s="19">
        <v>450</v>
      </c>
      <c r="K24" s="22">
        <f>385+5+50</f>
        <v>440</v>
      </c>
      <c r="L24" s="20">
        <v>705</v>
      </c>
      <c r="M24" s="20">
        <v>624</v>
      </c>
      <c r="N24" s="20">
        <v>97</v>
      </c>
      <c r="O24" s="19">
        <v>1172</v>
      </c>
      <c r="P24" s="19">
        <v>0</v>
      </c>
    </row>
    <row r="25" spans="1:16" ht="11.25">
      <c r="A25" s="3" t="s">
        <v>22</v>
      </c>
      <c r="B25" s="3"/>
      <c r="C25" s="26">
        <v>13920</v>
      </c>
      <c r="D25" s="26">
        <v>20782</v>
      </c>
      <c r="E25" s="26">
        <v>15943</v>
      </c>
      <c r="F25" s="27">
        <v>13983</v>
      </c>
      <c r="G25" s="26">
        <v>13696</v>
      </c>
      <c r="H25" s="26">
        <v>9543</v>
      </c>
      <c r="I25" s="26">
        <v>9543</v>
      </c>
      <c r="J25" s="26">
        <v>7781</v>
      </c>
      <c r="K25" s="28">
        <v>7908</v>
      </c>
      <c r="L25" s="26">
        <v>6116</v>
      </c>
      <c r="M25" s="26">
        <v>6053</v>
      </c>
      <c r="N25" s="26">
        <v>8299</v>
      </c>
      <c r="O25" s="26">
        <v>5782</v>
      </c>
      <c r="P25" s="26">
        <v>5529</v>
      </c>
    </row>
    <row r="26" spans="1:16" ht="11.25">
      <c r="A26" s="11" t="s">
        <v>23</v>
      </c>
      <c r="C26" s="5"/>
      <c r="E26" s="20"/>
      <c r="F26" s="29"/>
      <c r="G26" s="4"/>
      <c r="J26" s="19"/>
      <c r="K26" s="22"/>
      <c r="L26" s="20"/>
      <c r="M26" s="20"/>
      <c r="N26" s="20"/>
      <c r="O26" s="19"/>
      <c r="P26" s="19"/>
    </row>
    <row r="27" spans="1:16" ht="11.25">
      <c r="A27" s="2" t="s">
        <v>12</v>
      </c>
      <c r="C27" s="20">
        <f aca="true" t="shared" si="4" ref="C27:I27">(C10+G10)/2</f>
        <v>145066</v>
      </c>
      <c r="D27" s="20">
        <f t="shared" si="4"/>
        <v>134634.5</v>
      </c>
      <c r="E27" s="20">
        <f t="shared" si="4"/>
        <v>126735.5</v>
      </c>
      <c r="F27" s="21">
        <f t="shared" si="4"/>
        <v>124132</v>
      </c>
      <c r="G27" s="20">
        <f t="shared" si="4"/>
        <v>122111.5</v>
      </c>
      <c r="H27" s="19">
        <f t="shared" si="4"/>
        <v>116214</v>
      </c>
      <c r="I27" s="19">
        <f t="shared" si="4"/>
        <v>112221</v>
      </c>
      <c r="J27" s="19">
        <f>+(J10+N10)/2</f>
        <v>105789</v>
      </c>
      <c r="K27" s="22">
        <f>+(K10+O10)/2</f>
        <v>104030.5</v>
      </c>
      <c r="L27" s="20">
        <f>+(87483+L10)/2</f>
        <v>99366.5</v>
      </c>
      <c r="M27" s="20">
        <f>+(71490+M10)/2</f>
        <v>87499.5</v>
      </c>
      <c r="N27" s="20">
        <f>+(80543+N10)/2</f>
        <v>91088.5</v>
      </c>
      <c r="O27" s="19">
        <f>(O10+P10)/2</f>
        <v>207519</v>
      </c>
      <c r="P27" s="30" t="s">
        <v>24</v>
      </c>
    </row>
    <row r="28" spans="1:16" ht="11.25">
      <c r="A28" s="2" t="s">
        <v>25</v>
      </c>
      <c r="C28" s="20">
        <f aca="true" t="shared" si="5" ref="C28:O28">C29+C30</f>
        <v>96939</v>
      </c>
      <c r="D28" s="20">
        <f t="shared" si="5"/>
        <v>92573.5</v>
      </c>
      <c r="E28" s="20">
        <f t="shared" si="5"/>
        <v>76431.5</v>
      </c>
      <c r="F28" s="21">
        <f t="shared" si="5"/>
        <v>77534</v>
      </c>
      <c r="G28" s="20">
        <f t="shared" si="5"/>
        <v>89843</v>
      </c>
      <c r="H28" s="19">
        <f t="shared" si="5"/>
        <v>85362</v>
      </c>
      <c r="I28" s="19">
        <f t="shared" si="5"/>
        <v>86183</v>
      </c>
      <c r="J28" s="19">
        <f t="shared" si="5"/>
        <v>84032</v>
      </c>
      <c r="K28" s="22">
        <f t="shared" si="5"/>
        <v>78122.5</v>
      </c>
      <c r="L28" s="20">
        <f t="shared" si="5"/>
        <v>80629</v>
      </c>
      <c r="M28" s="20">
        <f t="shared" si="5"/>
        <v>78103</v>
      </c>
      <c r="N28" s="20">
        <f t="shared" si="5"/>
        <v>77948</v>
      </c>
      <c r="O28" s="19">
        <f t="shared" si="5"/>
        <v>98124.25</v>
      </c>
      <c r="P28" s="30" t="s">
        <v>24</v>
      </c>
    </row>
    <row r="29" spans="2:16" ht="11.25">
      <c r="B29" s="2" t="s">
        <v>14</v>
      </c>
      <c r="C29" s="20">
        <f aca="true" t="shared" si="6" ref="C29:I29">(C12+G12)/2</f>
        <v>17978.5</v>
      </c>
      <c r="D29" s="20">
        <f t="shared" si="6"/>
        <v>24045.5</v>
      </c>
      <c r="E29" s="20">
        <f t="shared" si="6"/>
        <v>19548</v>
      </c>
      <c r="F29" s="21">
        <f t="shared" si="6"/>
        <v>21013</v>
      </c>
      <c r="G29" s="20">
        <f t="shared" si="6"/>
        <v>21037.5</v>
      </c>
      <c r="H29" s="19">
        <f t="shared" si="6"/>
        <v>25958</v>
      </c>
      <c r="I29" s="19">
        <f t="shared" si="6"/>
        <v>26911</v>
      </c>
      <c r="J29" s="19">
        <f>+(J12+N12)/2</f>
        <v>30322</v>
      </c>
      <c r="K29" s="22">
        <f>+(K12+O12)/2</f>
        <v>30405.5</v>
      </c>
      <c r="L29" s="20">
        <f>+(37025+L12)/2</f>
        <v>33897</v>
      </c>
      <c r="M29" s="20">
        <f>+(29793+M12)/2</f>
        <v>30545.5</v>
      </c>
      <c r="N29" s="20">
        <f>+(39764+N12)/2</f>
        <v>36410</v>
      </c>
      <c r="O29" s="19">
        <f>(O12+P12)/2</f>
        <v>88143</v>
      </c>
      <c r="P29" s="30" t="s">
        <v>24</v>
      </c>
    </row>
    <row r="30" spans="2:16" ht="11.25">
      <c r="B30" s="2" t="s">
        <v>17</v>
      </c>
      <c r="C30" s="20">
        <f aca="true" t="shared" si="7" ref="C30:I30">(C15+G15)/2</f>
        <v>78960.5</v>
      </c>
      <c r="D30" s="20">
        <f t="shared" si="7"/>
        <v>68528</v>
      </c>
      <c r="E30" s="20">
        <f t="shared" si="7"/>
        <v>56883.5</v>
      </c>
      <c r="F30" s="21">
        <f t="shared" si="7"/>
        <v>56521</v>
      </c>
      <c r="G30" s="20">
        <f t="shared" si="7"/>
        <v>68805.5</v>
      </c>
      <c r="H30" s="19">
        <f t="shared" si="7"/>
        <v>59404</v>
      </c>
      <c r="I30" s="19">
        <f t="shared" si="7"/>
        <v>59272</v>
      </c>
      <c r="J30" s="19">
        <f>+(J15+N15)/2</f>
        <v>53710</v>
      </c>
      <c r="K30" s="22">
        <f>+(K15+O15)/2</f>
        <v>47717</v>
      </c>
      <c r="L30" s="20">
        <f>+(35595+L15)/2</f>
        <v>46732</v>
      </c>
      <c r="M30" s="20">
        <f>+(37385+M15)/2</f>
        <v>47557.5</v>
      </c>
      <c r="N30" s="20">
        <f>+(35615+N15)/2</f>
        <v>41538</v>
      </c>
      <c r="O30" s="19">
        <f>(O15+P15)/12</f>
        <v>9981.25</v>
      </c>
      <c r="P30" s="30" t="s">
        <v>24</v>
      </c>
    </row>
    <row r="31" spans="1:16" ht="11.25">
      <c r="A31" s="3" t="s">
        <v>22</v>
      </c>
      <c r="B31" s="3"/>
      <c r="C31" s="26">
        <f aca="true" t="shared" si="8" ref="C31:I31">(C25+G25)/2</f>
        <v>13808</v>
      </c>
      <c r="D31" s="20">
        <f t="shared" si="8"/>
        <v>15162.5</v>
      </c>
      <c r="E31" s="20">
        <f t="shared" si="8"/>
        <v>12743</v>
      </c>
      <c r="F31" s="27">
        <f t="shared" si="8"/>
        <v>10882</v>
      </c>
      <c r="G31" s="26">
        <f t="shared" si="8"/>
        <v>10802</v>
      </c>
      <c r="H31" s="26">
        <f t="shared" si="8"/>
        <v>7829.5</v>
      </c>
      <c r="I31" s="26">
        <f t="shared" si="8"/>
        <v>7798</v>
      </c>
      <c r="J31" s="26">
        <f>+(J25+N25)/2</f>
        <v>8040</v>
      </c>
      <c r="K31" s="28">
        <f>+(K25+O25)/2</f>
        <v>6845</v>
      </c>
      <c r="L31" s="26">
        <f>+(6792+L25)/2</f>
        <v>6454</v>
      </c>
      <c r="M31" s="26">
        <f>+(7295+M25)/2</f>
        <v>6674</v>
      </c>
      <c r="N31" s="26">
        <f>+(5916+N25)/2</f>
        <v>7107.5</v>
      </c>
      <c r="O31" s="26">
        <f>(O25+P25)/2</f>
        <v>5655.5</v>
      </c>
      <c r="P31" s="31" t="s">
        <v>24</v>
      </c>
    </row>
    <row r="32" spans="1:14" ht="11.25">
      <c r="A32" s="11" t="s">
        <v>26</v>
      </c>
      <c r="D32" s="5"/>
      <c r="E32" s="32"/>
      <c r="F32" s="29"/>
      <c r="G32" s="4"/>
      <c r="J32" s="19"/>
      <c r="K32" s="33"/>
      <c r="L32" s="4"/>
      <c r="M32" s="4"/>
      <c r="N32" s="4"/>
    </row>
    <row r="33" spans="1:16" ht="11.25">
      <c r="A33" s="2" t="s">
        <v>27</v>
      </c>
      <c r="C33" s="19">
        <v>5168</v>
      </c>
      <c r="D33" s="20">
        <v>3629</v>
      </c>
      <c r="E33" s="20">
        <v>2079</v>
      </c>
      <c r="F33" s="21">
        <v>1109</v>
      </c>
      <c r="G33" s="20">
        <v>5652</v>
      </c>
      <c r="H33" s="19">
        <v>4323</v>
      </c>
      <c r="I33" s="19">
        <v>2962</v>
      </c>
      <c r="J33" s="19">
        <v>1505</v>
      </c>
      <c r="K33" s="22">
        <v>6778</v>
      </c>
      <c r="L33" s="20">
        <v>4964</v>
      </c>
      <c r="M33" s="20">
        <v>3193</v>
      </c>
      <c r="N33" s="20">
        <v>1581</v>
      </c>
      <c r="O33" s="19">
        <v>6335</v>
      </c>
      <c r="P33" s="19">
        <v>8828</v>
      </c>
    </row>
    <row r="34" spans="1:16" ht="11.25">
      <c r="A34" s="2" t="s">
        <v>28</v>
      </c>
      <c r="C34" s="19">
        <v>3771</v>
      </c>
      <c r="D34" s="20">
        <v>2732</v>
      </c>
      <c r="E34" s="20">
        <v>1775</v>
      </c>
      <c r="F34" s="21">
        <v>899</v>
      </c>
      <c r="G34" s="20">
        <v>5311</v>
      </c>
      <c r="H34" s="19">
        <v>4191</v>
      </c>
      <c r="I34" s="19">
        <v>2851</v>
      </c>
      <c r="J34" s="19">
        <v>1510</v>
      </c>
      <c r="K34" s="22">
        <v>6046</v>
      </c>
      <c r="L34" s="20">
        <v>4386</v>
      </c>
      <c r="M34" s="20">
        <v>2774</v>
      </c>
      <c r="N34" s="20">
        <v>1325</v>
      </c>
      <c r="O34" s="19">
        <v>3890</v>
      </c>
      <c r="P34" s="19">
        <v>4697</v>
      </c>
    </row>
    <row r="35" spans="1:16" ht="11.25">
      <c r="A35" s="2" t="s">
        <v>29</v>
      </c>
      <c r="C35" s="20">
        <f>+C33-C34</f>
        <v>1397</v>
      </c>
      <c r="D35" s="20">
        <f>+D33-D34</f>
        <v>897</v>
      </c>
      <c r="E35" s="20">
        <f>+E33-E34</f>
        <v>304</v>
      </c>
      <c r="F35" s="21">
        <f>+F33-F34</f>
        <v>210</v>
      </c>
      <c r="G35" s="20">
        <f>+G33-G34</f>
        <v>341</v>
      </c>
      <c r="H35" s="19">
        <f>H33-H34</f>
        <v>132</v>
      </c>
      <c r="I35" s="19">
        <v>111</v>
      </c>
      <c r="J35" s="19">
        <f aca="true" t="shared" si="9" ref="J35:P35">J33-J34</f>
        <v>-5</v>
      </c>
      <c r="K35" s="22">
        <f t="shared" si="9"/>
        <v>732</v>
      </c>
      <c r="L35" s="20">
        <f t="shared" si="9"/>
        <v>578</v>
      </c>
      <c r="M35" s="20">
        <f t="shared" si="9"/>
        <v>419</v>
      </c>
      <c r="N35" s="20">
        <f t="shared" si="9"/>
        <v>256</v>
      </c>
      <c r="O35" s="19">
        <f t="shared" si="9"/>
        <v>2445</v>
      </c>
      <c r="P35" s="19">
        <f t="shared" si="9"/>
        <v>4131</v>
      </c>
    </row>
    <row r="36" spans="1:16" ht="11.25">
      <c r="A36" s="2" t="s">
        <v>30</v>
      </c>
      <c r="C36" s="19">
        <v>7631</v>
      </c>
      <c r="D36" s="20">
        <v>7482</v>
      </c>
      <c r="E36" s="20">
        <v>3626</v>
      </c>
      <c r="F36" s="21">
        <v>106</v>
      </c>
      <c r="G36" s="20">
        <v>6946</v>
      </c>
      <c r="H36" s="19">
        <v>2967</v>
      </c>
      <c r="I36" s="19">
        <v>2898</v>
      </c>
      <c r="J36" s="19">
        <v>30</v>
      </c>
      <c r="K36" s="22">
        <v>4290</v>
      </c>
      <c r="L36" s="20">
        <v>2419</v>
      </c>
      <c r="M36" s="20">
        <v>2381</v>
      </c>
      <c r="N36" s="20">
        <v>2352</v>
      </c>
      <c r="O36" s="19">
        <v>102</v>
      </c>
      <c r="P36" s="19">
        <v>76</v>
      </c>
    </row>
    <row r="37" spans="1:16" ht="11.25">
      <c r="A37" s="2" t="s">
        <v>31</v>
      </c>
      <c r="C37" s="20">
        <f>+C36+C35</f>
        <v>9028</v>
      </c>
      <c r="D37" s="20">
        <f>+D36+D35</f>
        <v>8379</v>
      </c>
      <c r="E37" s="20">
        <f>+E36+E35</f>
        <v>3930</v>
      </c>
      <c r="F37" s="21">
        <f>+F35+F36</f>
        <v>316</v>
      </c>
      <c r="G37" s="20">
        <f>+G36+G35</f>
        <v>7287</v>
      </c>
      <c r="H37" s="19">
        <f aca="true" t="shared" si="10" ref="H37:P37">H35+H36</f>
        <v>3099</v>
      </c>
      <c r="I37" s="19">
        <f t="shared" si="10"/>
        <v>3009</v>
      </c>
      <c r="J37" s="19">
        <f t="shared" si="10"/>
        <v>25</v>
      </c>
      <c r="K37" s="22">
        <f t="shared" si="10"/>
        <v>5022</v>
      </c>
      <c r="L37" s="20">
        <f t="shared" si="10"/>
        <v>2997</v>
      </c>
      <c r="M37" s="20">
        <f t="shared" si="10"/>
        <v>2800</v>
      </c>
      <c r="N37" s="20">
        <f t="shared" si="10"/>
        <v>2608</v>
      </c>
      <c r="O37" s="19">
        <f t="shared" si="10"/>
        <v>2547</v>
      </c>
      <c r="P37" s="19">
        <f t="shared" si="10"/>
        <v>4207</v>
      </c>
    </row>
    <row r="38" spans="1:16" ht="11.25">
      <c r="A38" s="2" t="s">
        <v>32</v>
      </c>
      <c r="C38" s="19">
        <v>183</v>
      </c>
      <c r="D38" s="20">
        <v>125</v>
      </c>
      <c r="E38" s="20">
        <v>65</v>
      </c>
      <c r="F38" s="21">
        <v>30</v>
      </c>
      <c r="G38" s="4">
        <v>248</v>
      </c>
      <c r="H38" s="19">
        <v>212</v>
      </c>
      <c r="I38" s="19">
        <v>147</v>
      </c>
      <c r="J38" s="19">
        <v>78</v>
      </c>
      <c r="K38" s="22">
        <v>256</v>
      </c>
      <c r="L38" s="20">
        <v>126</v>
      </c>
      <c r="M38" s="20">
        <v>85</v>
      </c>
      <c r="N38" s="20">
        <v>44</v>
      </c>
      <c r="O38" s="19">
        <v>398</v>
      </c>
      <c r="P38" s="19">
        <v>281</v>
      </c>
    </row>
    <row r="39" spans="1:16" ht="11.25">
      <c r="A39" s="2" t="s">
        <v>33</v>
      </c>
      <c r="C39" s="19">
        <f>+C37-C38</f>
        <v>8845</v>
      </c>
      <c r="D39" s="20">
        <f>+D37-D38</f>
        <v>8254</v>
      </c>
      <c r="E39" s="20">
        <f>+E37-E38</f>
        <v>3865</v>
      </c>
      <c r="F39" s="21">
        <f>+F37-F38</f>
        <v>286</v>
      </c>
      <c r="G39" s="20">
        <v>7040</v>
      </c>
      <c r="H39" s="19">
        <f aca="true" t="shared" si="11" ref="H39:P39">H37-H38</f>
        <v>2887</v>
      </c>
      <c r="I39" s="19">
        <f t="shared" si="11"/>
        <v>2862</v>
      </c>
      <c r="J39" s="19">
        <f t="shared" si="11"/>
        <v>-53</v>
      </c>
      <c r="K39" s="22">
        <f t="shared" si="11"/>
        <v>4766</v>
      </c>
      <c r="L39" s="20">
        <f t="shared" si="11"/>
        <v>2871</v>
      </c>
      <c r="M39" s="20">
        <f t="shared" si="11"/>
        <v>2715</v>
      </c>
      <c r="N39" s="20">
        <f t="shared" si="11"/>
        <v>2564</v>
      </c>
      <c r="O39" s="19">
        <f t="shared" si="11"/>
        <v>2149</v>
      </c>
      <c r="P39" s="19">
        <f t="shared" si="11"/>
        <v>3926</v>
      </c>
    </row>
    <row r="40" spans="1:16" ht="11.25">
      <c r="A40" s="3" t="s">
        <v>34</v>
      </c>
      <c r="B40" s="3"/>
      <c r="C40" s="26">
        <f>+C39</f>
        <v>8845</v>
      </c>
      <c r="D40" s="26">
        <f>+D39</f>
        <v>8254</v>
      </c>
      <c r="E40" s="26">
        <f>+E39</f>
        <v>3865</v>
      </c>
      <c r="F40" s="27">
        <f>+F39</f>
        <v>286</v>
      </c>
      <c r="G40" s="26">
        <f>+G39-1251</f>
        <v>5789</v>
      </c>
      <c r="H40" s="26">
        <f>2887-1251</f>
        <v>1636</v>
      </c>
      <c r="I40" s="26">
        <v>1635</v>
      </c>
      <c r="J40" s="26">
        <v>-127</v>
      </c>
      <c r="K40" s="28">
        <v>4450</v>
      </c>
      <c r="L40" s="26">
        <v>2654</v>
      </c>
      <c r="M40" s="26">
        <v>2595</v>
      </c>
      <c r="N40" s="26">
        <v>2514</v>
      </c>
      <c r="O40" s="26">
        <v>2069</v>
      </c>
      <c r="P40" s="26">
        <v>3927</v>
      </c>
    </row>
    <row r="41" spans="1:14" ht="11.25">
      <c r="A41" s="11" t="s">
        <v>35</v>
      </c>
      <c r="C41" s="5"/>
      <c r="D41" s="19"/>
      <c r="E41" s="20"/>
      <c r="F41" s="29"/>
      <c r="G41" s="4"/>
      <c r="I41" s="19"/>
      <c r="K41" s="33"/>
      <c r="L41" s="4"/>
      <c r="M41" s="4"/>
      <c r="N41" s="4"/>
    </row>
    <row r="42" spans="1:16" ht="11.25">
      <c r="A42" s="2" t="s">
        <v>36</v>
      </c>
      <c r="C42" s="4">
        <v>291</v>
      </c>
      <c r="D42" s="19">
        <v>68</v>
      </c>
      <c r="E42" s="20">
        <v>68</v>
      </c>
      <c r="F42" s="21">
        <v>0</v>
      </c>
      <c r="G42" s="20">
        <v>0</v>
      </c>
      <c r="H42" s="19">
        <v>0</v>
      </c>
      <c r="I42" s="19">
        <v>0</v>
      </c>
      <c r="J42" s="25">
        <v>0</v>
      </c>
      <c r="K42" s="22">
        <v>1032</v>
      </c>
      <c r="L42" s="20">
        <v>9032</v>
      </c>
      <c r="M42" s="20">
        <v>1032</v>
      </c>
      <c r="N42" s="20">
        <v>1032</v>
      </c>
      <c r="O42" s="19">
        <v>1032</v>
      </c>
      <c r="P42" s="19">
        <v>1032</v>
      </c>
    </row>
    <row r="43" spans="1:16" ht="11.25">
      <c r="A43" s="2" t="s">
        <v>37</v>
      </c>
      <c r="C43" s="4">
        <v>660</v>
      </c>
      <c r="D43" s="19">
        <v>660</v>
      </c>
      <c r="E43" s="20">
        <v>660</v>
      </c>
      <c r="F43" s="29">
        <v>660</v>
      </c>
      <c r="G43" s="4">
        <v>660</v>
      </c>
      <c r="H43" s="19">
        <v>666</v>
      </c>
      <c r="I43" s="19">
        <v>641</v>
      </c>
      <c r="J43" s="2">
        <v>490</v>
      </c>
      <c r="K43" s="22">
        <v>1447</v>
      </c>
      <c r="L43" s="20">
        <v>1347</v>
      </c>
      <c r="M43" s="20">
        <v>1250</v>
      </c>
      <c r="N43" s="20">
        <v>1180</v>
      </c>
      <c r="O43" s="19">
        <v>1130</v>
      </c>
      <c r="P43" s="19">
        <v>0</v>
      </c>
    </row>
    <row r="44" spans="1:16" ht="11.25">
      <c r="A44" s="2" t="s">
        <v>38</v>
      </c>
      <c r="C44" s="34">
        <f aca="true" t="shared" si="12" ref="C44:P44">C42/C12</f>
        <v>0.014334975369458129</v>
      </c>
      <c r="D44" s="34">
        <f t="shared" si="12"/>
        <v>0.0025237529691211403</v>
      </c>
      <c r="E44" s="34">
        <f t="shared" si="12"/>
        <v>0.0041033067825247405</v>
      </c>
      <c r="F44" s="35">
        <f t="shared" si="12"/>
        <v>0</v>
      </c>
      <c r="G44" s="34">
        <f t="shared" si="12"/>
        <v>0</v>
      </c>
      <c r="H44" s="36">
        <f t="shared" si="12"/>
        <v>0</v>
      </c>
      <c r="I44" s="36">
        <f t="shared" si="12"/>
        <v>0</v>
      </c>
      <c r="J44" s="36">
        <f t="shared" si="12"/>
        <v>0</v>
      </c>
      <c r="K44" s="37">
        <f t="shared" si="12"/>
        <v>0.03906427435839201</v>
      </c>
      <c r="L44" s="34">
        <f t="shared" si="12"/>
        <v>0.29354220156651173</v>
      </c>
      <c r="M44" s="34">
        <f t="shared" si="12"/>
        <v>0.032973352929899676</v>
      </c>
      <c r="N44" s="34">
        <f t="shared" si="12"/>
        <v>0.03121974830590513</v>
      </c>
      <c r="O44" s="36">
        <f t="shared" si="12"/>
        <v>0.03000610589364115</v>
      </c>
      <c r="P44" s="36">
        <f t="shared" si="12"/>
        <v>0.00727308605780412</v>
      </c>
    </row>
    <row r="45" spans="1:16" ht="11.25">
      <c r="A45" s="2" t="s">
        <v>39</v>
      </c>
      <c r="C45" s="34">
        <f>+C43/C42</f>
        <v>2.268041237113402</v>
      </c>
      <c r="D45" s="34">
        <v>0</v>
      </c>
      <c r="E45" s="34">
        <f>+E43/E42</f>
        <v>9.705882352941176</v>
      </c>
      <c r="F45" s="35">
        <v>0</v>
      </c>
      <c r="G45" s="34">
        <v>0</v>
      </c>
      <c r="H45" s="36">
        <v>0</v>
      </c>
      <c r="I45" s="36">
        <v>0</v>
      </c>
      <c r="J45" s="34">
        <v>0</v>
      </c>
      <c r="K45" s="37">
        <f>1447/K12</f>
        <v>0.054773260655613595</v>
      </c>
      <c r="L45" s="34">
        <f>1347/L12</f>
        <v>0.0437778283337125</v>
      </c>
      <c r="M45" s="34">
        <f>1250/M12</f>
        <v>0.03993865422710716</v>
      </c>
      <c r="N45" s="34">
        <f>1180/N12</f>
        <v>0.035696999031945786</v>
      </c>
      <c r="O45" s="36">
        <f>1130/O12</f>
        <v>0.03285552292617684</v>
      </c>
      <c r="P45" s="36">
        <f>0/P12</f>
        <v>0</v>
      </c>
    </row>
    <row r="46" spans="1:16" ht="11.25">
      <c r="A46" s="3" t="s">
        <v>40</v>
      </c>
      <c r="B46" s="3"/>
      <c r="C46" s="38">
        <f aca="true" t="shared" si="13" ref="C46:I46">C43/C12</f>
        <v>0.03251231527093596</v>
      </c>
      <c r="D46" s="38">
        <f t="shared" si="13"/>
        <v>0.02449524940617577</v>
      </c>
      <c r="E46" s="38">
        <f t="shared" si="13"/>
        <v>0.03982621288921072</v>
      </c>
      <c r="F46" s="39">
        <f t="shared" si="13"/>
        <v>0.04571270259038648</v>
      </c>
      <c r="G46" s="38">
        <f t="shared" si="13"/>
        <v>0.042153669285303695</v>
      </c>
      <c r="H46" s="38">
        <f t="shared" si="13"/>
        <v>0.031493828911902395</v>
      </c>
      <c r="I46" s="38">
        <f t="shared" si="13"/>
        <v>0.028458533120227312</v>
      </c>
      <c r="J46" s="38">
        <f>+J43/J12</f>
        <v>0.017761345512541684</v>
      </c>
      <c r="K46" s="40">
        <f>1447/K42</f>
        <v>1.4021317829457365</v>
      </c>
      <c r="L46" s="38">
        <f>1347/L42</f>
        <v>0.14913640389725422</v>
      </c>
      <c r="M46" s="38">
        <f>1250/M42</f>
        <v>1.2112403100775193</v>
      </c>
      <c r="N46" s="38">
        <f>1180/N42</f>
        <v>1.1434108527131783</v>
      </c>
      <c r="O46" s="38">
        <f>1130/O42</f>
        <v>1.0949612403100775</v>
      </c>
      <c r="P46" s="38">
        <f>0/P42</f>
        <v>0</v>
      </c>
    </row>
    <row r="47" spans="1:14" ht="11.25">
      <c r="A47" s="11" t="s">
        <v>41</v>
      </c>
      <c r="E47" s="20"/>
      <c r="F47" s="29"/>
      <c r="G47" s="5"/>
      <c r="H47" s="5"/>
      <c r="I47" s="5"/>
      <c r="J47" s="41"/>
      <c r="K47" s="4"/>
      <c r="L47" s="4"/>
      <c r="M47" s="4"/>
      <c r="N47" s="4"/>
    </row>
    <row r="48" spans="1:16" ht="11.25">
      <c r="A48" s="2" t="s">
        <v>42</v>
      </c>
      <c r="C48" s="34">
        <f>+C25/C12</f>
        <v>0.6857142857142857</v>
      </c>
      <c r="D48" s="34">
        <f>+D25/D12</f>
        <v>0.7713034441805225</v>
      </c>
      <c r="E48" s="34">
        <f>+E25/E12</f>
        <v>0.9620444122616462</v>
      </c>
      <c r="F48" s="35">
        <f aca="true" t="shared" si="14" ref="F48:P48">F25/F12</f>
        <v>0.96848593988087</v>
      </c>
      <c r="G48" s="34">
        <f t="shared" si="14"/>
        <v>0.8747525068659385</v>
      </c>
      <c r="H48" s="34">
        <f t="shared" si="14"/>
        <v>0.45126968364306996</v>
      </c>
      <c r="I48" s="34">
        <f t="shared" si="14"/>
        <v>0.4236814064997336</v>
      </c>
      <c r="J48" s="35">
        <f t="shared" si="14"/>
        <v>0.2820429172103813</v>
      </c>
      <c r="K48" s="36">
        <f t="shared" si="14"/>
        <v>0.29934135816488755</v>
      </c>
      <c r="L48" s="36">
        <f t="shared" si="14"/>
        <v>0.1987714907861809</v>
      </c>
      <c r="M48" s="36">
        <f t="shared" si="14"/>
        <v>0.19339893922934373</v>
      </c>
      <c r="N48" s="34">
        <f t="shared" si="14"/>
        <v>0.2510588092933204</v>
      </c>
      <c r="O48" s="36">
        <f t="shared" si="14"/>
        <v>0.16811560491960573</v>
      </c>
      <c r="P48" s="36">
        <f t="shared" si="14"/>
        <v>0.03896598140852614</v>
      </c>
    </row>
    <row r="49" spans="1:16" ht="11.25">
      <c r="A49" s="3" t="s">
        <v>43</v>
      </c>
      <c r="B49" s="3"/>
      <c r="C49" s="38">
        <f aca="true" t="shared" si="15" ref="C49:P49">C25/(C12+C15)</f>
        <v>0.13860400278801155</v>
      </c>
      <c r="D49" s="38">
        <f t="shared" si="15"/>
        <v>0.2016475679451975</v>
      </c>
      <c r="E49" s="38">
        <f t="shared" si="15"/>
        <v>0.22931319669183747</v>
      </c>
      <c r="F49" s="39">
        <f t="shared" si="15"/>
        <v>0.2070911272048696</v>
      </c>
      <c r="G49" s="38">
        <f t="shared" si="15"/>
        <v>0.14656279428131153</v>
      </c>
      <c r="H49" s="38">
        <f t="shared" si="15"/>
        <v>0.11625612162853592</v>
      </c>
      <c r="I49" s="38">
        <f t="shared" si="15"/>
        <v>0.11450958746310207</v>
      </c>
      <c r="J49" s="39">
        <f t="shared" si="15"/>
        <v>0.08887797411676014</v>
      </c>
      <c r="K49" s="38">
        <f t="shared" si="15"/>
        <v>0.09169971474292075</v>
      </c>
      <c r="L49" s="38">
        <f t="shared" si="15"/>
        <v>0.06899975179945396</v>
      </c>
      <c r="M49" s="38">
        <f t="shared" si="15"/>
        <v>0.0679898458911803</v>
      </c>
      <c r="N49" s="38">
        <f t="shared" si="15"/>
        <v>0.10307140107058137</v>
      </c>
      <c r="O49" s="38">
        <f t="shared" si="15"/>
        <v>0.08259174082591741</v>
      </c>
      <c r="P49" s="38">
        <f t="shared" si="15"/>
        <v>0.02445875764197935</v>
      </c>
    </row>
    <row r="50" spans="1:14" ht="11.25">
      <c r="A50" s="11" t="s">
        <v>44</v>
      </c>
      <c r="C50" s="20"/>
      <c r="D50" s="20"/>
      <c r="E50" s="20"/>
      <c r="F50" s="29"/>
      <c r="G50" s="4"/>
      <c r="K50" s="33"/>
      <c r="L50" s="4"/>
      <c r="M50" s="4"/>
      <c r="N50" s="4"/>
    </row>
    <row r="51" spans="1:16" ht="11.25">
      <c r="A51" s="2" t="s">
        <v>45</v>
      </c>
      <c r="C51" s="34">
        <f aca="true" t="shared" si="16" ref="C51:P51">C11/C16</f>
        <v>0.36690770964395786</v>
      </c>
      <c r="D51" s="34">
        <f t="shared" si="16"/>
        <v>0.30647700347301116</v>
      </c>
      <c r="E51" s="34">
        <f t="shared" si="16"/>
        <v>0.4989637351009593</v>
      </c>
      <c r="F51" s="42">
        <f t="shared" si="16"/>
        <v>0.5423197231373332</v>
      </c>
      <c r="G51" s="43">
        <f t="shared" si="16"/>
        <v>0.3133790348209016</v>
      </c>
      <c r="H51" s="44">
        <f t="shared" si="16"/>
        <v>0.170004446255882</v>
      </c>
      <c r="I51" s="44">
        <f t="shared" si="16"/>
        <v>0.33285795778665145</v>
      </c>
      <c r="J51" s="36">
        <f t="shared" si="16"/>
        <v>0.05434392210072631</v>
      </c>
      <c r="K51" s="37">
        <f t="shared" si="16"/>
        <v>0.10887794220284637</v>
      </c>
      <c r="L51" s="34">
        <f t="shared" si="16"/>
        <v>0.17826321202919135</v>
      </c>
      <c r="M51" s="34">
        <f t="shared" si="16"/>
        <v>0.11439942959912311</v>
      </c>
      <c r="N51" s="34">
        <f t="shared" si="16"/>
        <v>0.13330801791438177</v>
      </c>
      <c r="O51" s="36">
        <f t="shared" si="16"/>
        <v>0.21564859913311588</v>
      </c>
      <c r="P51" s="36">
        <f t="shared" si="16"/>
        <v>0.09240295400056187</v>
      </c>
    </row>
    <row r="52" spans="1:16" ht="11.25">
      <c r="A52" s="2" t="s">
        <v>46</v>
      </c>
      <c r="C52" s="34">
        <f aca="true" t="shared" si="17" ref="C52:P52">C11/C10</f>
        <v>0.3149788907894653</v>
      </c>
      <c r="D52" s="34">
        <f t="shared" si="17"/>
        <v>0.2550391313449163</v>
      </c>
      <c r="E52" s="34">
        <f t="shared" si="17"/>
        <v>0.4305029500973306</v>
      </c>
      <c r="F52" s="42">
        <f t="shared" si="17"/>
        <v>0.4712912087912088</v>
      </c>
      <c r="G52" s="43">
        <f t="shared" si="17"/>
        <v>0.25749222241287983</v>
      </c>
      <c r="H52" s="44">
        <f t="shared" si="17"/>
        <v>0.15145488455000083</v>
      </c>
      <c r="I52" s="44">
        <f t="shared" si="17"/>
        <v>0.2894991441542011</v>
      </c>
      <c r="J52" s="36">
        <f t="shared" si="17"/>
        <v>0.04954340391472022</v>
      </c>
      <c r="K52" s="37">
        <f t="shared" si="17"/>
        <v>0.09769113482901329</v>
      </c>
      <c r="L52" s="34">
        <f t="shared" si="17"/>
        <v>0.16357752808988765</v>
      </c>
      <c r="M52" s="34">
        <f t="shared" si="17"/>
        <v>0.10385570336878919</v>
      </c>
      <c r="N52" s="34">
        <f t="shared" si="17"/>
        <v>0.11744101383395321</v>
      </c>
      <c r="O52" s="36">
        <f t="shared" si="17"/>
        <v>0.1972271320126281</v>
      </c>
      <c r="P52" s="36">
        <f t="shared" si="17"/>
        <v>0.07570602942984793</v>
      </c>
    </row>
    <row r="53" spans="1:16" ht="11.25">
      <c r="A53" s="3" t="s">
        <v>47</v>
      </c>
      <c r="B53" s="3"/>
      <c r="C53" s="38">
        <f aca="true" t="shared" si="18" ref="C53:P53">(C11+C15)/C16</f>
        <v>0.9648883217289423</v>
      </c>
      <c r="D53" s="38">
        <f t="shared" si="18"/>
        <v>0.9241293128631244</v>
      </c>
      <c r="E53" s="38">
        <f t="shared" si="18"/>
        <v>0.9620298549229142</v>
      </c>
      <c r="F53" s="45">
        <f t="shared" si="18"/>
        <v>0.983927323549965</v>
      </c>
      <c r="G53" s="46">
        <f t="shared" si="18"/>
        <v>1.0197030916602352</v>
      </c>
      <c r="H53" s="46">
        <f t="shared" si="18"/>
        <v>0.7344844195783468</v>
      </c>
      <c r="I53" s="46">
        <f t="shared" si="18"/>
        <v>0.9110477277048868</v>
      </c>
      <c r="J53" s="38">
        <f t="shared" si="18"/>
        <v>0.6525460930640913</v>
      </c>
      <c r="K53" s="40">
        <f t="shared" si="18"/>
        <v>0.7139576990380627</v>
      </c>
      <c r="L53" s="38">
        <f t="shared" si="18"/>
        <v>0.7451339569966204</v>
      </c>
      <c r="M53" s="38">
        <f t="shared" si="18"/>
        <v>0.7287509710649257</v>
      </c>
      <c r="N53" s="38">
        <f t="shared" si="18"/>
        <v>0.6633793850586909</v>
      </c>
      <c r="O53" s="38">
        <f t="shared" si="18"/>
        <v>0.6134992627016399</v>
      </c>
      <c r="P53" s="38">
        <f t="shared" si="18"/>
        <v>0.4162847170109024</v>
      </c>
    </row>
    <row r="54" spans="1:14" ht="11.25">
      <c r="A54" s="11" t="s">
        <v>48</v>
      </c>
      <c r="D54" s="20"/>
      <c r="E54" s="20"/>
      <c r="F54" s="29"/>
      <c r="G54" s="4"/>
      <c r="K54" s="33"/>
      <c r="L54" s="4"/>
      <c r="M54" s="4"/>
      <c r="N54" s="4"/>
    </row>
    <row r="55" spans="1:16" ht="11.25">
      <c r="A55" s="2" t="s">
        <v>49</v>
      </c>
      <c r="B55" s="4"/>
      <c r="C55" s="47">
        <f>C40/C28</f>
        <v>0.09124294659528157</v>
      </c>
      <c r="D55" s="34">
        <f>(D40/0.75)/D28</f>
        <v>0.11888211349180201</v>
      </c>
      <c r="E55" s="34">
        <f>(E40/0.5)/E28</f>
        <v>0.10113631159927516</v>
      </c>
      <c r="F55" s="35">
        <f>((F40)/0.25)/F28</f>
        <v>0.014754817241468259</v>
      </c>
      <c r="G55" s="47">
        <f>G40/G28</f>
        <v>0.06443462484556393</v>
      </c>
      <c r="H55" s="47">
        <f>(H40/0.75)/H28</f>
        <v>0.02555391548151793</v>
      </c>
      <c r="I55" s="36">
        <f>(I40/0.5)/I28</f>
        <v>0.037942517665896985</v>
      </c>
      <c r="J55" s="36">
        <f>((J40)/0.25)/J28</f>
        <v>-0.006045316070068545</v>
      </c>
      <c r="K55" s="48">
        <f>K40/K28</f>
        <v>0.056961822778328904</v>
      </c>
      <c r="L55" s="47">
        <f>(L40/0.75)/L28</f>
        <v>0.04388826187434628</v>
      </c>
      <c r="M55" s="47">
        <f>(M40/0.5)/M28</f>
        <v>0.06645071252064581</v>
      </c>
      <c r="N55" s="34">
        <f>((N40)/0.25)/N28</f>
        <v>0.12900908297839586</v>
      </c>
      <c r="O55" s="36">
        <f>O40/O28</f>
        <v>0.02108551148161642</v>
      </c>
      <c r="P55" s="49" t="s">
        <v>50</v>
      </c>
    </row>
    <row r="56" spans="1:16" ht="11.25">
      <c r="A56" s="2" t="s">
        <v>51</v>
      </c>
      <c r="B56" s="4"/>
      <c r="C56" s="47">
        <f>C40/C27</f>
        <v>0.06097224711510623</v>
      </c>
      <c r="D56" s="34">
        <f>(D40/0.75)/D27</f>
        <v>0.08174229735568025</v>
      </c>
      <c r="E56" s="34">
        <f>(E40/0.5)/E27</f>
        <v>0.060993170816385306</v>
      </c>
      <c r="F56" s="35">
        <f>((F40)/0.25)/F27</f>
        <v>0.00921599587535849</v>
      </c>
      <c r="G56" s="47">
        <f>G40/G27</f>
        <v>0.04740749233282696</v>
      </c>
      <c r="H56" s="47">
        <f>(H40/0.75)/H27</f>
        <v>0.01876997034207009</v>
      </c>
      <c r="I56" s="36">
        <f>(I40/0.5)/I27</f>
        <v>0.02913893121608255</v>
      </c>
      <c r="J56" s="36">
        <f>((J40)/0.25)/J27</f>
        <v>-0.004802011551295503</v>
      </c>
      <c r="K56" s="48">
        <f>K40/K27</f>
        <v>0.04277591667828185</v>
      </c>
      <c r="L56" s="47">
        <f>(L40/0.75)/L27</f>
        <v>0.03561227039964844</v>
      </c>
      <c r="M56" s="47">
        <f>(M40/0.5)/M27</f>
        <v>0.05931462465499803</v>
      </c>
      <c r="N56" s="34">
        <f>((N40)/0.25)/N27</f>
        <v>0.11039812929184255</v>
      </c>
      <c r="O56" s="36">
        <f>O40/O27</f>
        <v>0.00997017140599174</v>
      </c>
      <c r="P56" s="49" t="s">
        <v>24</v>
      </c>
    </row>
    <row r="57" spans="1:16" ht="11.25">
      <c r="A57" s="2" t="s">
        <v>52</v>
      </c>
      <c r="B57" s="4"/>
      <c r="C57" s="47">
        <f>+C40/C31</f>
        <v>0.6405706836616454</v>
      </c>
      <c r="D57" s="34">
        <f>(D40/0.75)/D31</f>
        <v>0.7258257763121737</v>
      </c>
      <c r="E57" s="34">
        <f>(E40/0.5)/E31</f>
        <v>0.6066075492427215</v>
      </c>
      <c r="F57" s="35">
        <f>((F40)/0.25)/F31</f>
        <v>0.10512773387244992</v>
      </c>
      <c r="G57" s="47">
        <f>+G40/G31</f>
        <v>0.53591927420848</v>
      </c>
      <c r="H57" s="47">
        <f>(H40/0.75)/H31</f>
        <v>0.2786044234412585</v>
      </c>
      <c r="I57" s="36">
        <f>(I40/0.5)/I31</f>
        <v>0.41933829186971017</v>
      </c>
      <c r="J57" s="36">
        <f>((J40)/0.25)/J31</f>
        <v>-0.06318407960199005</v>
      </c>
      <c r="K57" s="48">
        <f>+K40/K31</f>
        <v>0.6501095690284879</v>
      </c>
      <c r="L57" s="47">
        <f>(L40/0.75)/L31</f>
        <v>0.5482904658609647</v>
      </c>
      <c r="M57" s="47">
        <f>(M40/0.5)/M31</f>
        <v>0.7776445909499551</v>
      </c>
      <c r="N57" s="34">
        <f>((N40)/0.25)/N31</f>
        <v>1.4148434752022512</v>
      </c>
      <c r="O57" s="36">
        <f>O40/O31</f>
        <v>0.3658385642295111</v>
      </c>
      <c r="P57" s="49" t="s">
        <v>24</v>
      </c>
    </row>
    <row r="58" spans="1:16" ht="11.25">
      <c r="A58" s="2" t="s">
        <v>53</v>
      </c>
      <c r="B58" s="4"/>
      <c r="C58" s="47">
        <f>C33/C28</f>
        <v>0.053311876540917486</v>
      </c>
      <c r="D58" s="34">
        <f>(D33/0.75)/D28</f>
        <v>0.052268377739489884</v>
      </c>
      <c r="E58" s="34">
        <f>(E33/0.5)/E28</f>
        <v>0.054401653768407006</v>
      </c>
      <c r="F58" s="35">
        <f>((F33)/0.25)/F28</f>
        <v>0.0572136095132458</v>
      </c>
      <c r="G58" s="47">
        <f>G33/G28</f>
        <v>0.06290974255089433</v>
      </c>
      <c r="H58" s="47">
        <f>(H33/0.75)/H28</f>
        <v>0.06752419109205501</v>
      </c>
      <c r="I58" s="36">
        <f>(I33/0.5)/I28</f>
        <v>0.06873745402225497</v>
      </c>
      <c r="J58" s="36">
        <f>((J33)/0.25)/J28</f>
        <v>0.07163937547600914</v>
      </c>
      <c r="K58" s="48">
        <f>K33/K28</f>
        <v>0.08676117635764344</v>
      </c>
      <c r="L58" s="47">
        <f>(L33/0.75)/L28</f>
        <v>0.08208791708525055</v>
      </c>
      <c r="M58" s="47">
        <f>(M33/0.5)/M28</f>
        <v>0.08176382469303356</v>
      </c>
      <c r="N58" s="34">
        <f>((N33)/0.25)/N28</f>
        <v>0.08113101041720121</v>
      </c>
      <c r="O58" s="36">
        <f>O33/O28</f>
        <v>0.06456100301403578</v>
      </c>
      <c r="P58" s="49" t="s">
        <v>24</v>
      </c>
    </row>
    <row r="59" spans="1:16" ht="11.25">
      <c r="A59" s="2" t="s">
        <v>54</v>
      </c>
      <c r="B59" s="4"/>
      <c r="C59" s="47">
        <f>C34/C28</f>
        <v>0.03890075201931111</v>
      </c>
      <c r="D59" s="34">
        <f>(D34/0.75)/D28</f>
        <v>0.03934891374601442</v>
      </c>
      <c r="E59" s="34">
        <f>(E34/0.5)/E28</f>
        <v>0.046446818392940084</v>
      </c>
      <c r="F59" s="35">
        <f>((F34)/0.25)/F28</f>
        <v>0.04637965279748239</v>
      </c>
      <c r="G59" s="47">
        <f>G34/G28</f>
        <v>0.05911423260576784</v>
      </c>
      <c r="H59" s="47">
        <f>(H34/0.75)/H28</f>
        <v>0.06546238373046555</v>
      </c>
      <c r="I59" s="36">
        <f>(I34/0.5)/I28</f>
        <v>0.06616153997888215</v>
      </c>
      <c r="J59" s="36">
        <f>((J34)/0.25)/J28</f>
        <v>0.07187738004569688</v>
      </c>
      <c r="K59" s="48">
        <f>K34/K28</f>
        <v>0.07739127652084866</v>
      </c>
      <c r="L59" s="47">
        <f>(L34/0.75)/L28</f>
        <v>0.07252973495888576</v>
      </c>
      <c r="M59" s="47">
        <f>(M34/0.5)/M28</f>
        <v>0.0710344032879659</v>
      </c>
      <c r="N59" s="34">
        <f>((N34)/0.25)/N28</f>
        <v>0.06799404731359368</v>
      </c>
      <c r="O59" s="36">
        <f>O34/O28</f>
        <v>0.03964361511043397</v>
      </c>
      <c r="P59" s="49" t="s">
        <v>55</v>
      </c>
    </row>
    <row r="60" spans="1:16" ht="11.25">
      <c r="A60" s="2" t="s">
        <v>56</v>
      </c>
      <c r="B60" s="4"/>
      <c r="C60" s="47">
        <f>C35/C28</f>
        <v>0.014411124521606372</v>
      </c>
      <c r="D60" s="34">
        <f>(D35/0.75)/D28</f>
        <v>0.012919463993475456</v>
      </c>
      <c r="E60" s="34">
        <f>(E35/0.5)/E28</f>
        <v>0.007954835375466922</v>
      </c>
      <c r="F60" s="35">
        <f>((F35)/0.25)/F28</f>
        <v>0.010833956715763407</v>
      </c>
      <c r="G60" s="47">
        <f>G35/G28</f>
        <v>0.0037955099451264986</v>
      </c>
      <c r="H60" s="47">
        <f>(H35/0.75)/H28</f>
        <v>0.002061807361589466</v>
      </c>
      <c r="I60" s="36">
        <f>(I35/0.5)/I28</f>
        <v>0.002575914043372823</v>
      </c>
      <c r="J60" s="36">
        <f>((J35)/0.25)/J28</f>
        <v>-0.000238004569687738</v>
      </c>
      <c r="K60" s="48">
        <f>K35/K28</f>
        <v>0.009369899836794777</v>
      </c>
      <c r="L60" s="47">
        <f>(L35/0.75)/L28</f>
        <v>0.00955818212636479</v>
      </c>
      <c r="M60" s="47">
        <f>(M35/0.5)/M28</f>
        <v>0.010729421405067666</v>
      </c>
      <c r="N60" s="34">
        <f>((N35)/0.25)/N28</f>
        <v>0.013136963103607534</v>
      </c>
      <c r="O60" s="36">
        <f>O35/O28</f>
        <v>0.02491738790360181</v>
      </c>
      <c r="P60" s="49" t="s">
        <v>24</v>
      </c>
    </row>
    <row r="61" spans="1:16" ht="11.25">
      <c r="A61" s="2" t="s">
        <v>57</v>
      </c>
      <c r="B61" s="4"/>
      <c r="C61" s="47">
        <f>C38/C37</f>
        <v>0.02027027027027027</v>
      </c>
      <c r="D61" s="34">
        <f>(D38/0.75)/(D37/0.75)</f>
        <v>0.014918248000954768</v>
      </c>
      <c r="E61" s="34">
        <f>(E38/0.5)/(E37/0.5)</f>
        <v>0.01653944020356234</v>
      </c>
      <c r="F61" s="35">
        <f>(F38/0.25)/(F37/0.25)</f>
        <v>0.0949367088607595</v>
      </c>
      <c r="G61" s="47">
        <f>G38/G37</f>
        <v>0.03403320982571703</v>
      </c>
      <c r="H61" s="47">
        <f>(H38/0.75)/(H37/0.75)</f>
        <v>0.06840916424653114</v>
      </c>
      <c r="I61" s="36">
        <f>(I38/0.5)/(I37/0.5)</f>
        <v>0.04885343968095713</v>
      </c>
      <c r="J61" s="36">
        <f>(J38/0.25)/(J37/0.25)</f>
        <v>3.12</v>
      </c>
      <c r="K61" s="48">
        <f>K38/K37</f>
        <v>0.050975706889685383</v>
      </c>
      <c r="L61" s="47">
        <f>(L38/0.75)/(L37/0.75)</f>
        <v>0.042042042042042045</v>
      </c>
      <c r="M61" s="47">
        <f>(M38/0.5)/(M37/0.5)</f>
        <v>0.030357142857142857</v>
      </c>
      <c r="N61" s="34">
        <f>(N38/0.25)/(N37/0.25)</f>
        <v>0.01687116564417178</v>
      </c>
      <c r="O61" s="36">
        <f>O38/O37</f>
        <v>0.15626226933647427</v>
      </c>
      <c r="P61" s="36">
        <f>P38/P37</f>
        <v>0.06679343950558593</v>
      </c>
    </row>
    <row r="62" spans="1:16" ht="11.25">
      <c r="A62" s="3" t="s">
        <v>58</v>
      </c>
      <c r="B62" s="3"/>
      <c r="C62" s="50">
        <f>C36/C28</f>
        <v>0.07871960717564654</v>
      </c>
      <c r="D62" s="38">
        <f>(D36/0.75)/D28</f>
        <v>0.10776302073487554</v>
      </c>
      <c r="E62" s="38">
        <f>(E36/0.5)/E28</f>
        <v>0.0948823456297469</v>
      </c>
      <c r="F62" s="39">
        <f>(F36/0.25)/F28</f>
        <v>0.005468568627956767</v>
      </c>
      <c r="G62" s="50">
        <f>G36/G28</f>
        <v>0.07731264539251806</v>
      </c>
      <c r="H62" s="50">
        <f>(H36/0.75)/H28</f>
        <v>0.046343806377545045</v>
      </c>
      <c r="I62" s="38">
        <f>(I36/0.5)/I28</f>
        <v>0.06725224232157154</v>
      </c>
      <c r="J62" s="38">
        <f>(J36/0.25)/J28</f>
        <v>0.0014280274181264281</v>
      </c>
      <c r="K62" s="51">
        <f>K36/K28</f>
        <v>0.05491375724023169</v>
      </c>
      <c r="L62" s="50">
        <f>(L36/0.75)/L28</f>
        <v>0.040002149764146074</v>
      </c>
      <c r="M62" s="50">
        <f>(M36/0.5)/M28</f>
        <v>0.06097076936865421</v>
      </c>
      <c r="N62" s="38">
        <f>(N36/0.25)/N28</f>
        <v>0.12069584851439422</v>
      </c>
      <c r="O62" s="38">
        <f>O36/O28</f>
        <v>0.001039498391070505</v>
      </c>
      <c r="P62" s="52" t="s">
        <v>24</v>
      </c>
    </row>
    <row r="63" spans="1:14" ht="11.25">
      <c r="A63" s="11" t="s">
        <v>59</v>
      </c>
      <c r="E63" s="20"/>
      <c r="F63" s="29"/>
      <c r="G63" s="5"/>
      <c r="K63" s="33"/>
      <c r="L63" s="4"/>
      <c r="M63" s="4"/>
      <c r="N63" s="4"/>
    </row>
    <row r="64" spans="1:16" ht="11.25">
      <c r="A64" s="2" t="s">
        <v>71</v>
      </c>
      <c r="C64" s="2">
        <v>33</v>
      </c>
      <c r="D64" s="19">
        <v>33</v>
      </c>
      <c r="E64" s="20">
        <v>32</v>
      </c>
      <c r="F64" s="29">
        <v>33</v>
      </c>
      <c r="G64" s="4">
        <v>33</v>
      </c>
      <c r="H64" s="19">
        <v>33</v>
      </c>
      <c r="I64" s="19">
        <v>33</v>
      </c>
      <c r="J64" s="2">
        <v>32</v>
      </c>
      <c r="K64" s="22">
        <v>32</v>
      </c>
      <c r="L64" s="20">
        <v>31</v>
      </c>
      <c r="M64" s="20">
        <v>33</v>
      </c>
      <c r="N64" s="20">
        <v>33</v>
      </c>
      <c r="O64" s="19">
        <v>32</v>
      </c>
      <c r="P64" s="19">
        <v>31</v>
      </c>
    </row>
    <row r="65" spans="1:16" ht="11.25">
      <c r="A65" s="2" t="s">
        <v>60</v>
      </c>
      <c r="C65" s="2">
        <v>1</v>
      </c>
      <c r="D65" s="19">
        <v>1</v>
      </c>
      <c r="E65" s="20">
        <v>1</v>
      </c>
      <c r="F65" s="29">
        <v>1</v>
      </c>
      <c r="G65" s="4">
        <v>1</v>
      </c>
      <c r="H65" s="19">
        <v>1</v>
      </c>
      <c r="I65" s="19">
        <v>1</v>
      </c>
      <c r="J65" s="2">
        <v>1</v>
      </c>
      <c r="K65" s="22">
        <v>1</v>
      </c>
      <c r="L65" s="20">
        <v>1</v>
      </c>
      <c r="M65" s="20">
        <v>1</v>
      </c>
      <c r="N65" s="20">
        <v>1</v>
      </c>
      <c r="O65" s="19">
        <v>1</v>
      </c>
      <c r="P65" s="19">
        <v>1</v>
      </c>
    </row>
    <row r="66" spans="1:16" ht="11.25">
      <c r="A66" s="2" t="s">
        <v>61</v>
      </c>
      <c r="C66" s="20">
        <f aca="true" t="shared" si="19" ref="C66:P66">C12/C64</f>
        <v>615.1515151515151</v>
      </c>
      <c r="D66" s="20">
        <f t="shared" si="19"/>
        <v>816.4848484848485</v>
      </c>
      <c r="E66" s="20">
        <f t="shared" si="19"/>
        <v>517.875</v>
      </c>
      <c r="F66" s="21">
        <f t="shared" si="19"/>
        <v>437.5151515151515</v>
      </c>
      <c r="G66" s="20">
        <f t="shared" si="19"/>
        <v>474.45454545454544</v>
      </c>
      <c r="H66" s="19">
        <f t="shared" si="19"/>
        <v>640.8181818181819</v>
      </c>
      <c r="I66" s="19">
        <f t="shared" si="19"/>
        <v>682.5454545454545</v>
      </c>
      <c r="J66" s="19">
        <f t="shared" si="19"/>
        <v>862.125</v>
      </c>
      <c r="K66" s="22">
        <f t="shared" si="19"/>
        <v>825.5625</v>
      </c>
      <c r="L66" s="20">
        <f t="shared" si="19"/>
        <v>992.5483870967741</v>
      </c>
      <c r="M66" s="20">
        <f t="shared" si="19"/>
        <v>948.4242424242424</v>
      </c>
      <c r="N66" s="20">
        <f t="shared" si="19"/>
        <v>1001.6969696969697</v>
      </c>
      <c r="O66" s="19">
        <f t="shared" si="19"/>
        <v>1074.78125</v>
      </c>
      <c r="P66" s="19">
        <f t="shared" si="19"/>
        <v>4577.193548387097</v>
      </c>
    </row>
    <row r="67" spans="1:16" ht="11.25">
      <c r="A67" s="2" t="s">
        <v>62</v>
      </c>
      <c r="C67" s="20">
        <f aca="true" t="shared" si="20" ref="C67:P67">+C16/C64</f>
        <v>4060.6363636363635</v>
      </c>
      <c r="D67" s="20">
        <f t="shared" si="20"/>
        <v>3734.4242424242425</v>
      </c>
      <c r="E67" s="20">
        <f t="shared" si="20"/>
        <v>3573.53125</v>
      </c>
      <c r="F67" s="21">
        <f t="shared" si="20"/>
        <v>3642.5454545454545</v>
      </c>
      <c r="G67" s="20">
        <f t="shared" si="20"/>
        <v>3337.4242424242425</v>
      </c>
      <c r="H67" s="19">
        <f t="shared" si="20"/>
        <v>3271.3939393939395</v>
      </c>
      <c r="I67" s="19">
        <f t="shared" si="20"/>
        <v>3187.2727272727275</v>
      </c>
      <c r="J67" s="19">
        <f t="shared" si="20"/>
        <v>3132.25</v>
      </c>
      <c r="K67" s="22">
        <f t="shared" si="20"/>
        <v>3089.46875</v>
      </c>
      <c r="L67" s="20">
        <f t="shared" si="20"/>
        <v>3293.064516129032</v>
      </c>
      <c r="M67" s="20">
        <f t="shared" si="20"/>
        <v>2847.5454545454545</v>
      </c>
      <c r="N67" s="20">
        <f t="shared" si="20"/>
        <v>2713.242424242424</v>
      </c>
      <c r="O67" s="19">
        <f t="shared" si="20"/>
        <v>2797.375</v>
      </c>
      <c r="P67" s="19">
        <f t="shared" si="20"/>
        <v>8382.290322580646</v>
      </c>
    </row>
    <row r="68" spans="1:16" ht="11.25">
      <c r="A68" s="3" t="s">
        <v>63</v>
      </c>
      <c r="B68" s="3"/>
      <c r="C68" s="26">
        <f aca="true" t="shared" si="21" ref="C68:P68">+C40/C64</f>
        <v>268.030303030303</v>
      </c>
      <c r="D68" s="26">
        <f t="shared" si="21"/>
        <v>250.12121212121212</v>
      </c>
      <c r="E68" s="26">
        <f t="shared" si="21"/>
        <v>120.78125</v>
      </c>
      <c r="F68" s="27">
        <f t="shared" si="21"/>
        <v>8.666666666666666</v>
      </c>
      <c r="G68" s="26">
        <f t="shared" si="21"/>
        <v>175.42424242424244</v>
      </c>
      <c r="H68" s="26">
        <f t="shared" si="21"/>
        <v>49.57575757575758</v>
      </c>
      <c r="I68" s="26">
        <f t="shared" si="21"/>
        <v>49.54545454545455</v>
      </c>
      <c r="J68" s="26">
        <f t="shared" si="21"/>
        <v>-3.96875</v>
      </c>
      <c r="K68" s="28">
        <f t="shared" si="21"/>
        <v>139.0625</v>
      </c>
      <c r="L68" s="26">
        <f t="shared" si="21"/>
        <v>85.61290322580645</v>
      </c>
      <c r="M68" s="26">
        <f t="shared" si="21"/>
        <v>78.63636363636364</v>
      </c>
      <c r="N68" s="26">
        <f t="shared" si="21"/>
        <v>76.18181818181819</v>
      </c>
      <c r="O68" s="26">
        <f t="shared" si="21"/>
        <v>64.65625</v>
      </c>
      <c r="P68" s="26">
        <f t="shared" si="21"/>
        <v>126.6774193548387</v>
      </c>
    </row>
    <row r="69" spans="1:16" ht="11.25">
      <c r="A69" s="11" t="s">
        <v>64</v>
      </c>
      <c r="E69" s="20"/>
      <c r="F69" s="29"/>
      <c r="G69" s="4"/>
      <c r="K69" s="33"/>
      <c r="L69" s="4"/>
      <c r="M69" s="4"/>
      <c r="N69" s="4"/>
      <c r="O69" s="5"/>
      <c r="P69" s="5"/>
    </row>
    <row r="70" spans="1:16" ht="11.25">
      <c r="A70" s="2" t="s">
        <v>65</v>
      </c>
      <c r="C70" s="34">
        <f aca="true" t="shared" si="22" ref="C70:I70">(C10/G10)-1</f>
        <v>0.16453420273204067</v>
      </c>
      <c r="D70" s="34">
        <f t="shared" si="22"/>
        <v>0.22209476967766428</v>
      </c>
      <c r="E70" s="34">
        <f t="shared" si="22"/>
        <v>0.09596222701826629</v>
      </c>
      <c r="F70" s="35">
        <f t="shared" si="22"/>
        <v>0.2580950301971914</v>
      </c>
      <c r="G70" s="34">
        <f t="shared" si="22"/>
        <v>0.21650148841937122</v>
      </c>
      <c r="H70" s="36">
        <f t="shared" si="22"/>
        <v>0.0892404494382022</v>
      </c>
      <c r="I70" s="36">
        <f t="shared" si="22"/>
        <v>0.1683331884183985</v>
      </c>
      <c r="J70" s="36">
        <f>+(J10/N10)-1</f>
        <v>0.08176397662199664</v>
      </c>
      <c r="K70" s="37">
        <f>+(K10/O10)-1</f>
        <v>0.125739448491474</v>
      </c>
      <c r="L70" s="34">
        <f>+(L10/87483)-1</f>
        <v>0.2716756398385971</v>
      </c>
      <c r="M70" s="34">
        <f>+(M10/71490)-1</f>
        <v>0.44788082249265626</v>
      </c>
      <c r="N70" s="34">
        <f>+(N10/80543)-1</f>
        <v>0.2618601244055969</v>
      </c>
      <c r="O70" s="34">
        <f>(O10/P10)-1</f>
        <v>-0.6913964831741608</v>
      </c>
      <c r="P70" s="34">
        <f>SUM(P71:P72)</f>
        <v>0</v>
      </c>
    </row>
    <row r="71" spans="1:16" ht="11.25">
      <c r="A71" s="2" t="s">
        <v>66</v>
      </c>
      <c r="C71" s="34">
        <f aca="true" t="shared" si="23" ref="C71:I71">(C12/G12)-1</f>
        <v>0.2965446765025228</v>
      </c>
      <c r="D71" s="34">
        <f t="shared" si="23"/>
        <v>0.2741287180214689</v>
      </c>
      <c r="E71" s="34">
        <f t="shared" si="23"/>
        <v>-0.2642514651038892</v>
      </c>
      <c r="F71" s="35">
        <f t="shared" si="23"/>
        <v>-0.4766565173263738</v>
      </c>
      <c r="G71" s="34">
        <f t="shared" si="23"/>
        <v>-0.4073359073359073</v>
      </c>
      <c r="H71" s="36">
        <f t="shared" si="23"/>
        <v>-0.31271734538009033</v>
      </c>
      <c r="I71" s="36">
        <f t="shared" si="23"/>
        <v>-0.2803374017509106</v>
      </c>
      <c r="J71" s="36">
        <f aca="true" t="shared" si="24" ref="J71:O71">SUM(J72:J73)</f>
        <v>-0.16541626331074544</v>
      </c>
      <c r="K71" s="37">
        <f t="shared" si="24"/>
        <v>-0.23187857994359318</v>
      </c>
      <c r="L71" s="34">
        <f t="shared" si="24"/>
        <v>-0.16896691424713028</v>
      </c>
      <c r="M71" s="34">
        <f t="shared" si="24"/>
        <v>0.05298926757056832</v>
      </c>
      <c r="N71" s="34">
        <f t="shared" si="24"/>
        <v>-0.16869530228347251</v>
      </c>
      <c r="O71" s="34">
        <f t="shared" si="24"/>
        <v>-0.7576131310212625</v>
      </c>
      <c r="P71" s="34">
        <f>SUM(P72:P73)</f>
        <v>0</v>
      </c>
    </row>
    <row r="72" spans="2:16" ht="11.25">
      <c r="B72" s="2" t="s">
        <v>15</v>
      </c>
      <c r="C72" s="34">
        <v>0</v>
      </c>
      <c r="D72" s="34">
        <v>0</v>
      </c>
      <c r="E72" s="34">
        <v>0</v>
      </c>
      <c r="F72" s="35">
        <v>0</v>
      </c>
      <c r="G72" s="34">
        <v>0</v>
      </c>
      <c r="H72" s="36">
        <v>0</v>
      </c>
      <c r="I72" s="36">
        <v>0</v>
      </c>
      <c r="J72" s="36">
        <v>0</v>
      </c>
      <c r="K72" s="37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</row>
    <row r="73" spans="2:16" ht="11.25">
      <c r="B73" s="2" t="s">
        <v>16</v>
      </c>
      <c r="C73" s="34">
        <f aca="true" t="shared" si="25" ref="C73:I73">(C14/G14)-1</f>
        <v>0.2965446765025228</v>
      </c>
      <c r="D73" s="34">
        <f t="shared" si="25"/>
        <v>0.2741287180214689</v>
      </c>
      <c r="E73" s="34">
        <f t="shared" si="25"/>
        <v>-0.2642514651038892</v>
      </c>
      <c r="F73" s="35">
        <f t="shared" si="25"/>
        <v>-0.4766565173263738</v>
      </c>
      <c r="G73" s="34">
        <f t="shared" si="25"/>
        <v>-0.4073359073359073</v>
      </c>
      <c r="H73" s="36">
        <f t="shared" si="25"/>
        <v>-0.31271734538009033</v>
      </c>
      <c r="I73" s="36">
        <f t="shared" si="25"/>
        <v>-0.2803374017509106</v>
      </c>
      <c r="J73" s="36">
        <f>+(J14/N14)-1</f>
        <v>-0.16541626331074544</v>
      </c>
      <c r="K73" s="37">
        <f>+(K14/O14)-1</f>
        <v>-0.23187857994359318</v>
      </c>
      <c r="L73" s="34">
        <f>+(L14/37025)-1</f>
        <v>-0.16896691424713028</v>
      </c>
      <c r="M73" s="34">
        <f>+(M14/29723)-1</f>
        <v>0.05298926757056832</v>
      </c>
      <c r="N73" s="34">
        <f>+(N14/39764)-1</f>
        <v>-0.16869530228347251</v>
      </c>
      <c r="O73" s="34">
        <f>+(O14/P14)-1</f>
        <v>-0.7576131310212625</v>
      </c>
      <c r="P73" s="34">
        <v>0</v>
      </c>
    </row>
    <row r="74" spans="1:16" ht="11.25">
      <c r="A74" s="2" t="s">
        <v>67</v>
      </c>
      <c r="C74" s="34">
        <f aca="true" t="shared" si="26" ref="C74:I74">(C16/G16)-1</f>
        <v>0.21669768919961863</v>
      </c>
      <c r="D74" s="34">
        <f t="shared" si="26"/>
        <v>0.1415391455778281</v>
      </c>
      <c r="E74" s="34">
        <f t="shared" si="26"/>
        <v>0.08721239779425738</v>
      </c>
      <c r="F74" s="35">
        <f t="shared" si="26"/>
        <v>0.19925772208476333</v>
      </c>
      <c r="G74" s="34">
        <f t="shared" si="26"/>
        <v>0.11401636608235632</v>
      </c>
      <c r="H74" s="36">
        <f t="shared" si="26"/>
        <v>0.05751089778126062</v>
      </c>
      <c r="I74" s="36">
        <f t="shared" si="26"/>
        <v>0.11930530281262963</v>
      </c>
      <c r="J74" s="36">
        <f aca="true" t="shared" si="27" ref="J74:P74">SUM(J75:J76)</f>
        <v>0.11944782603839754</v>
      </c>
      <c r="K74" s="37">
        <f t="shared" si="27"/>
        <v>0.10441708744805389</v>
      </c>
      <c r="L74" s="34">
        <f t="shared" si="27"/>
        <v>0.29447642717658695</v>
      </c>
      <c r="M74" s="34">
        <f t="shared" si="27"/>
        <v>0.5577640369345025</v>
      </c>
      <c r="N74" s="34">
        <f t="shared" si="27"/>
        <v>0.4969488238342836</v>
      </c>
      <c r="O74" s="34">
        <f t="shared" si="27"/>
        <v>0</v>
      </c>
      <c r="P74" s="34">
        <f t="shared" si="27"/>
        <v>0</v>
      </c>
    </row>
    <row r="75" spans="2:16" ht="11.25">
      <c r="B75" s="2" t="s">
        <v>15</v>
      </c>
      <c r="C75" s="34">
        <v>0</v>
      </c>
      <c r="D75" s="34">
        <v>0</v>
      </c>
      <c r="E75" s="34">
        <v>0</v>
      </c>
      <c r="F75" s="35">
        <v>0</v>
      </c>
      <c r="G75" s="34">
        <v>0</v>
      </c>
      <c r="H75" s="36">
        <v>0</v>
      </c>
      <c r="I75" s="36">
        <v>0</v>
      </c>
      <c r="J75" s="36">
        <v>0</v>
      </c>
      <c r="K75" s="37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</row>
    <row r="76" spans="2:16" ht="11.25">
      <c r="B76" s="2" t="s">
        <v>16</v>
      </c>
      <c r="C76" s="34">
        <f aca="true" t="shared" si="28" ref="C76:I76">(C21/G21)-1</f>
        <v>0.21669768919961863</v>
      </c>
      <c r="D76" s="34">
        <f t="shared" si="28"/>
        <v>0.1415391455778281</v>
      </c>
      <c r="E76" s="34">
        <f t="shared" si="28"/>
        <v>0.08721239779425738</v>
      </c>
      <c r="F76" s="35">
        <f t="shared" si="28"/>
        <v>0.19925772208476333</v>
      </c>
      <c r="G76" s="34">
        <f t="shared" si="28"/>
        <v>0.11401636608235632</v>
      </c>
      <c r="H76" s="36">
        <f t="shared" si="28"/>
        <v>0.05751089778126062</v>
      </c>
      <c r="I76" s="36">
        <f t="shared" si="28"/>
        <v>0.11930530281262963</v>
      </c>
      <c r="J76" s="36">
        <f>+(J21/N21)-1</f>
        <v>0.11944782603839754</v>
      </c>
      <c r="K76" s="37">
        <f>+(K21/O21)-1</f>
        <v>0.10441708744805389</v>
      </c>
      <c r="L76" s="34">
        <f>+(L21/78862)-1</f>
        <v>0.29447642717658695</v>
      </c>
      <c r="M76" s="34">
        <f>+(M21/60323)-1</f>
        <v>0.5577640369345025</v>
      </c>
      <c r="N76" s="34">
        <f>+(N21/59813)-1</f>
        <v>0.4969488238342836</v>
      </c>
      <c r="O76" s="34">
        <v>0</v>
      </c>
      <c r="P76" s="34">
        <v>0</v>
      </c>
    </row>
    <row r="77" spans="1:16" ht="11.25">
      <c r="A77" s="2" t="s">
        <v>22</v>
      </c>
      <c r="C77" s="34">
        <f aca="true" t="shared" si="29" ref="C77:I77">(C25/G25)-1</f>
        <v>0.016355140186915973</v>
      </c>
      <c r="D77" s="34">
        <f t="shared" si="29"/>
        <v>1.1777218903908624</v>
      </c>
      <c r="E77" s="34">
        <f t="shared" si="29"/>
        <v>0.6706486429843865</v>
      </c>
      <c r="F77" s="35">
        <f t="shared" si="29"/>
        <v>0.7970697853746305</v>
      </c>
      <c r="G77" s="34">
        <f t="shared" si="29"/>
        <v>0.7319170460293374</v>
      </c>
      <c r="H77" s="36">
        <f t="shared" si="29"/>
        <v>0.5603335513407457</v>
      </c>
      <c r="I77" s="36">
        <f t="shared" si="29"/>
        <v>0.5765735998678341</v>
      </c>
      <c r="J77" s="34">
        <f>+(J25/N25)-1</f>
        <v>-0.062417158693818586</v>
      </c>
      <c r="K77" s="37">
        <f>+(K25/O25)-1</f>
        <v>0.36769283984780343</v>
      </c>
      <c r="L77" s="34">
        <f>+(L25/6792)-1</f>
        <v>-0.09952885747938756</v>
      </c>
      <c r="M77" s="34">
        <f>+(M25/7295)-1</f>
        <v>-0.17025359835503773</v>
      </c>
      <c r="N77" s="34">
        <f>+(N25/5916)-1</f>
        <v>0.40280594996619334</v>
      </c>
      <c r="O77" s="34">
        <f>+(O25/P25)-1</f>
        <v>0.04575872671369141</v>
      </c>
      <c r="P77" s="34">
        <v>0</v>
      </c>
    </row>
    <row r="78" spans="1:16" ht="11.25">
      <c r="A78" s="3" t="s">
        <v>68</v>
      </c>
      <c r="B78" s="3"/>
      <c r="C78" s="38">
        <f aca="true" t="shared" si="30" ref="C78:I78">(C40/G40)-1</f>
        <v>0.5278977370875799</v>
      </c>
      <c r="D78" s="38">
        <f t="shared" si="30"/>
        <v>4.04523227383863</v>
      </c>
      <c r="E78" s="38">
        <f t="shared" si="30"/>
        <v>1.3639143730886851</v>
      </c>
      <c r="F78" s="39">
        <f t="shared" si="30"/>
        <v>-3.251968503937008</v>
      </c>
      <c r="G78" s="38">
        <f t="shared" si="30"/>
        <v>0.3008988764044944</v>
      </c>
      <c r="H78" s="38">
        <f t="shared" si="30"/>
        <v>-0.38357196684250183</v>
      </c>
      <c r="I78" s="38">
        <f t="shared" si="30"/>
        <v>-0.36994219653179194</v>
      </c>
      <c r="J78" s="38">
        <f>+(J40/N40)-1</f>
        <v>-1.0505171042163883</v>
      </c>
      <c r="K78" s="40">
        <f>+(K40/O40)-1</f>
        <v>1.1507974867085546</v>
      </c>
      <c r="L78" s="38">
        <f>+(L40/2033)-1</f>
        <v>0.30545991146089513</v>
      </c>
      <c r="M78" s="38">
        <f>+(M40/2542)-1</f>
        <v>0.020849724626278432</v>
      </c>
      <c r="N78" s="38">
        <f>+(N40/524)-1</f>
        <v>3.7977099236641223</v>
      </c>
      <c r="O78" s="38">
        <f>+(O40/P40)-1</f>
        <v>-0.4731347084288261</v>
      </c>
      <c r="P78" s="38">
        <v>0</v>
      </c>
    </row>
    <row r="79" spans="1:6" ht="11.25">
      <c r="A79" s="2" t="s">
        <v>69</v>
      </c>
      <c r="E79" s="4"/>
      <c r="F79" s="4"/>
    </row>
    <row r="80" spans="1:6" ht="11.25">
      <c r="A80" s="2" t="s">
        <v>70</v>
      </c>
      <c r="E80" s="4"/>
      <c r="F80" s="4"/>
    </row>
    <row r="81" spans="5:6" ht="11.25">
      <c r="E81" s="4"/>
      <c r="F81" s="4"/>
    </row>
    <row r="82" spans="5:6" ht="11.25">
      <c r="E82" s="4"/>
      <c r="F82" s="4"/>
    </row>
    <row r="83" spans="5:6" ht="11.25">
      <c r="E83" s="4"/>
      <c r="F83" s="4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2017-06-16T17:18:11Z</dcterms:created>
  <dcterms:modified xsi:type="dcterms:W3CDTF">2017-06-16T17:18:14Z</dcterms:modified>
  <cp:category/>
  <cp:version/>
  <cp:contentType/>
  <cp:contentStatus/>
</cp:coreProperties>
</file>