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latin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<sst xmlns="http://schemas.openxmlformats.org/spreadsheetml/2006/main" count="89" uniqueCount="68">
  <si>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19-3</t>
  </si>
  <si>
    <t>BANCO ALEMAN PLATINA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</si>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</sst>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5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16" xfId="46" applyFont="1" applyBorder="1" applyAlignment="1">
      <alignment/>
    </xf>
    <xf numFmtId="201" fontId="3" fillId="0" borderId="0" xfId="46" applyNumberFormat="1" applyFont="1" applyFill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0" fontId="3" fillId="0" borderId="18" xfId="0" applyFont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3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201" fontId="3" fillId="0" borderId="0" xfId="46" applyNumberFormat="1" applyFont="1" applyFill="1" applyAlignment="1">
      <alignment/>
    </xf>
    <xf numFmtId="43" fontId="3" fillId="0" borderId="10" xfId="4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11.421875" defaultRowHeight="12.75"/>
  <cols>
    <col min="1" max="1" width="3.7109375" style="2" customWidth="1"/>
    <col min="2" max="2" width="28.421875" style="2" customWidth="1"/>
    <col min="3" max="3" width="7.7109375" style="2" customWidth="1"/>
    <col min="4" max="4" width="8.00390625" style="2" customWidth="1"/>
    <col min="5" max="5" width="7.8515625" style="2" customWidth="1"/>
    <col min="6" max="6" width="7.421875" style="2" customWidth="1"/>
    <col min="7" max="7" width="8.00390625" style="2" customWidth="1"/>
    <col min="8" max="8" width="8.28125" style="2" customWidth="1"/>
    <col min="9" max="9" width="7.421875" style="2" customWidth="1"/>
    <col min="10" max="10" width="7.57421875" style="2" customWidth="1"/>
    <col min="11" max="11" width="7.8515625" style="2" customWidth="1"/>
    <col min="12" max="12" width="8.28125" style="2" customWidth="1"/>
    <col min="13" max="14" width="7.57421875" style="2" customWidth="1"/>
    <col min="15" max="16" width="6.421875" style="2" hidden="1" customWidth="1"/>
    <col min="17" max="68" width="11.421875" style="2" customWidth="1"/>
    <col min="69" max="16384" width="11.421875" style="1" customWidth="1"/>
  </cols>
  <sheetData>
    <row r="1" spans="2:16" ht="11.25">
      <c r="B1" s="51"/>
      <c r="C1" s="51"/>
      <c r="D1" s="51"/>
      <c r="E1" s="51"/>
      <c r="F1" s="51"/>
      <c r="G1" s="51" t="s">
        <v>0</v>
      </c>
      <c r="H1" s="51"/>
      <c r="I1" s="51"/>
      <c r="J1" s="51"/>
      <c r="K1" s="51"/>
      <c r="L1" s="51"/>
      <c r="M1" s="51"/>
      <c r="N1" s="51"/>
      <c r="O1" s="51"/>
      <c r="P1" s="51"/>
    </row>
    <row r="2" spans="2:16" ht="11.25">
      <c r="B2" s="51"/>
      <c r="C2" s="51"/>
      <c r="D2" s="51"/>
      <c r="E2" s="51"/>
      <c r="F2" s="51"/>
      <c r="G2" s="51" t="s">
        <v>1</v>
      </c>
      <c r="H2" s="51"/>
      <c r="I2" s="51"/>
      <c r="J2" s="51"/>
      <c r="K2" s="51"/>
      <c r="L2" s="51"/>
      <c r="M2" s="51"/>
      <c r="N2" s="51"/>
      <c r="O2" s="51"/>
      <c r="P2" s="51"/>
    </row>
    <row r="3" spans="2:16" ht="11.25">
      <c r="B3" s="51"/>
      <c r="C3" s="51"/>
      <c r="D3" s="51"/>
      <c r="E3" s="51"/>
      <c r="F3" s="51"/>
      <c r="G3" s="51" t="s">
        <v>2</v>
      </c>
      <c r="H3" s="51"/>
      <c r="I3" s="51"/>
      <c r="J3" s="51"/>
      <c r="K3" s="51"/>
      <c r="L3" s="51"/>
      <c r="M3" s="51"/>
      <c r="N3" s="51"/>
      <c r="O3" s="51"/>
      <c r="P3" s="51"/>
    </row>
    <row r="4" spans="1:16" ht="11.25">
      <c r="A4" s="1"/>
      <c r="B4" s="50"/>
      <c r="C4" s="50"/>
      <c r="D4" s="50"/>
      <c r="E4" s="50"/>
      <c r="F4" s="50"/>
      <c r="G4" s="50" t="s">
        <v>3</v>
      </c>
      <c r="H4" s="50"/>
      <c r="I4" s="50"/>
      <c r="J4" s="50"/>
      <c r="K4" s="50"/>
      <c r="L4" s="50"/>
      <c r="M4" s="50"/>
      <c r="N4" s="50"/>
      <c r="O4" s="50"/>
      <c r="P4" s="50"/>
    </row>
    <row r="5" spans="1:16" ht="11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3">
        <v>2002</v>
      </c>
      <c r="D7" s="53"/>
      <c r="E7" s="53"/>
      <c r="F7" s="54"/>
      <c r="G7" s="53">
        <v>2001</v>
      </c>
      <c r="H7" s="53"/>
      <c r="I7" s="53"/>
      <c r="J7" s="53"/>
      <c r="K7" s="52">
        <v>2000</v>
      </c>
      <c r="L7" s="53"/>
      <c r="M7" s="53"/>
      <c r="N7" s="53"/>
      <c r="O7" s="53" t="s">
        <v>4</v>
      </c>
      <c r="P7" s="53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7" t="s">
        <v>6</v>
      </c>
      <c r="M8" s="7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4"/>
      <c r="K9" s="15"/>
      <c r="L9" s="16"/>
      <c r="M9" s="16"/>
      <c r="N9" s="16"/>
      <c r="O9" s="14"/>
      <c r="P9" s="14"/>
    </row>
    <row r="10" spans="1:16" ht="11.25">
      <c r="A10" s="2" t="s">
        <v>12</v>
      </c>
      <c r="C10" s="17">
        <v>210819</v>
      </c>
      <c r="D10" s="17">
        <v>213842</v>
      </c>
      <c r="E10" s="18">
        <v>225078</v>
      </c>
      <c r="F10" s="19">
        <v>291913</v>
      </c>
      <c r="G10" s="17">
        <v>300361</v>
      </c>
      <c r="H10" s="17">
        <v>291995</v>
      </c>
      <c r="I10" s="17">
        <v>324340</v>
      </c>
      <c r="J10" s="17">
        <v>337879</v>
      </c>
      <c r="K10" s="20">
        <v>320306</v>
      </c>
      <c r="L10" s="18">
        <v>312769</v>
      </c>
      <c r="M10" s="18">
        <v>340470</v>
      </c>
      <c r="N10" s="18">
        <v>359186</v>
      </c>
      <c r="O10" s="17">
        <v>334912</v>
      </c>
      <c r="P10" s="17">
        <v>341315</v>
      </c>
    </row>
    <row r="11" spans="1:16" ht="11.25">
      <c r="A11" s="2" t="s">
        <v>13</v>
      </c>
      <c r="C11" s="17">
        <v>59960</v>
      </c>
      <c r="D11" s="17">
        <v>73245</v>
      </c>
      <c r="E11" s="18">
        <v>57171</v>
      </c>
      <c r="F11" s="19">
        <v>57562</v>
      </c>
      <c r="G11" s="17">
        <v>58284</v>
      </c>
      <c r="H11" s="17">
        <v>75208</v>
      </c>
      <c r="I11" s="17">
        <v>81841</v>
      </c>
      <c r="J11" s="17">
        <v>88387</v>
      </c>
      <c r="K11" s="20">
        <v>64513</v>
      </c>
      <c r="L11" s="18">
        <v>68579</v>
      </c>
      <c r="M11" s="18">
        <v>41637</v>
      </c>
      <c r="N11" s="18">
        <v>42454</v>
      </c>
      <c r="O11" s="17">
        <v>44520</v>
      </c>
      <c r="P11" s="17">
        <v>56611</v>
      </c>
    </row>
    <row r="12" spans="1:16" ht="11.25">
      <c r="A12" s="2" t="s">
        <v>14</v>
      </c>
      <c r="C12" s="18">
        <f aca="true" t="shared" si="0" ref="C12:P12">C13+C14</f>
        <v>136246</v>
      </c>
      <c r="D12" s="18">
        <f t="shared" si="0"/>
        <v>135328</v>
      </c>
      <c r="E12" s="18">
        <f t="shared" si="0"/>
        <v>158488</v>
      </c>
      <c r="F12" s="19">
        <f t="shared" si="0"/>
        <v>220709</v>
      </c>
      <c r="G12" s="17">
        <f t="shared" si="0"/>
        <v>228813</v>
      </c>
      <c r="H12" s="17">
        <f t="shared" si="0"/>
        <v>207001</v>
      </c>
      <c r="I12" s="17">
        <f t="shared" si="0"/>
        <v>219073</v>
      </c>
      <c r="J12" s="17">
        <f t="shared" si="0"/>
        <v>228798</v>
      </c>
      <c r="K12" s="20">
        <f t="shared" si="0"/>
        <v>235991</v>
      </c>
      <c r="L12" s="18">
        <f t="shared" si="0"/>
        <v>227662</v>
      </c>
      <c r="M12" s="18">
        <f t="shared" si="0"/>
        <v>286343</v>
      </c>
      <c r="N12" s="18">
        <f t="shared" si="0"/>
        <v>306099</v>
      </c>
      <c r="O12" s="17">
        <f t="shared" si="0"/>
        <v>280113</v>
      </c>
      <c r="P12" s="17">
        <f t="shared" si="0"/>
        <v>272230</v>
      </c>
    </row>
    <row r="13" spans="2:16" ht="11.25">
      <c r="B13" s="2" t="s">
        <v>15</v>
      </c>
      <c r="C13" s="18">
        <v>0</v>
      </c>
      <c r="D13" s="18">
        <v>0</v>
      </c>
      <c r="E13" s="21">
        <v>0</v>
      </c>
      <c r="F13" s="22">
        <v>0</v>
      </c>
      <c r="G13" s="23">
        <v>0</v>
      </c>
      <c r="H13" s="23">
        <v>0</v>
      </c>
      <c r="I13" s="17">
        <v>0</v>
      </c>
      <c r="J13" s="17">
        <v>0</v>
      </c>
      <c r="K13" s="20">
        <v>0</v>
      </c>
      <c r="L13" s="18">
        <v>0</v>
      </c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136246</v>
      </c>
      <c r="D14" s="17">
        <v>135328</v>
      </c>
      <c r="E14" s="18">
        <v>158488</v>
      </c>
      <c r="F14" s="19">
        <v>220709</v>
      </c>
      <c r="G14" s="17">
        <v>228813</v>
      </c>
      <c r="H14" s="17">
        <v>207001</v>
      </c>
      <c r="I14" s="17">
        <v>219073</v>
      </c>
      <c r="J14" s="17">
        <v>228798</v>
      </c>
      <c r="K14" s="20">
        <v>235991</v>
      </c>
      <c r="L14" s="18">
        <v>227662</v>
      </c>
      <c r="M14" s="18">
        <v>286343</v>
      </c>
      <c r="N14" s="18">
        <v>306099</v>
      </c>
      <c r="O14" s="17">
        <v>280113</v>
      </c>
      <c r="P14" s="17">
        <v>272230</v>
      </c>
    </row>
    <row r="15" spans="1:16" ht="11.25">
      <c r="A15" s="2" t="s">
        <v>17</v>
      </c>
      <c r="C15" s="17">
        <v>0</v>
      </c>
      <c r="D15" s="17">
        <v>200</v>
      </c>
      <c r="E15" s="18">
        <v>3680</v>
      </c>
      <c r="F15" s="19">
        <v>3701</v>
      </c>
      <c r="G15" s="17">
        <v>4245</v>
      </c>
      <c r="H15" s="17">
        <v>622</v>
      </c>
      <c r="I15" s="17">
        <v>9726</v>
      </c>
      <c r="J15" s="17">
        <v>6629</v>
      </c>
      <c r="K15" s="20">
        <v>6219</v>
      </c>
      <c r="L15" s="18">
        <v>1219</v>
      </c>
      <c r="M15" s="18">
        <v>1220</v>
      </c>
      <c r="N15" s="18">
        <v>1230</v>
      </c>
      <c r="O15" s="17">
        <v>1231</v>
      </c>
      <c r="P15" s="17">
        <v>325</v>
      </c>
    </row>
    <row r="16" spans="1:16" ht="11.25">
      <c r="A16" s="2" t="s">
        <v>18</v>
      </c>
      <c r="C16" s="18">
        <f aca="true" t="shared" si="1" ref="C16:P16">C17+C21</f>
        <v>173337</v>
      </c>
      <c r="D16" s="18">
        <f t="shared" si="1"/>
        <v>186233</v>
      </c>
      <c r="E16" s="18">
        <f t="shared" si="1"/>
        <v>198034</v>
      </c>
      <c r="F16" s="19">
        <f t="shared" si="1"/>
        <v>225184</v>
      </c>
      <c r="G16" s="17">
        <f t="shared" si="1"/>
        <v>235962</v>
      </c>
      <c r="H16" s="17">
        <f t="shared" si="1"/>
        <v>226938</v>
      </c>
      <c r="I16" s="17">
        <f t="shared" si="1"/>
        <v>245593</v>
      </c>
      <c r="J16" s="17">
        <f t="shared" si="1"/>
        <v>261660</v>
      </c>
      <c r="K16" s="20">
        <f t="shared" si="1"/>
        <v>251602</v>
      </c>
      <c r="L16" s="18">
        <f t="shared" si="1"/>
        <v>267702</v>
      </c>
      <c r="M16" s="18">
        <f t="shared" si="1"/>
        <v>277676</v>
      </c>
      <c r="N16" s="18">
        <f t="shared" si="1"/>
        <v>305075</v>
      </c>
      <c r="O16" s="17">
        <f t="shared" si="1"/>
        <v>284524</v>
      </c>
      <c r="P16" s="17">
        <f t="shared" si="1"/>
        <v>290330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0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9">
        <v>0</v>
      </c>
      <c r="G18" s="17">
        <v>0</v>
      </c>
      <c r="H18" s="17">
        <v>0</v>
      </c>
      <c r="I18" s="17">
        <v>0</v>
      </c>
      <c r="J18" s="17">
        <v>0</v>
      </c>
      <c r="K18" s="20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9">
        <v>0</v>
      </c>
      <c r="G19" s="17">
        <v>0</v>
      </c>
      <c r="H19" s="17">
        <v>0</v>
      </c>
      <c r="I19" s="17">
        <v>0</v>
      </c>
      <c r="J19" s="17">
        <v>0</v>
      </c>
      <c r="K19" s="20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9">
        <v>0</v>
      </c>
      <c r="G20" s="17">
        <v>0</v>
      </c>
      <c r="H20" s="17">
        <v>0</v>
      </c>
      <c r="I20" s="17">
        <v>0</v>
      </c>
      <c r="J20" s="17">
        <v>0</v>
      </c>
      <c r="K20" s="20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+C22+C23+C24</f>
        <v>173337</v>
      </c>
      <c r="D21" s="18">
        <f>+D22+D23+D24</f>
        <v>186233</v>
      </c>
      <c r="E21" s="18">
        <f>+E22+E23+E24</f>
        <v>198034</v>
      </c>
      <c r="F21" s="19">
        <f>+F22+F23+F24</f>
        <v>225184</v>
      </c>
      <c r="G21" s="17">
        <f aca="true" t="shared" si="3" ref="G21:P21">SUM(G23:G24)</f>
        <v>235962</v>
      </c>
      <c r="H21" s="17">
        <f t="shared" si="3"/>
        <v>226938</v>
      </c>
      <c r="I21" s="17">
        <f t="shared" si="3"/>
        <v>245593</v>
      </c>
      <c r="J21" s="17">
        <f t="shared" si="3"/>
        <v>261660</v>
      </c>
      <c r="K21" s="20">
        <f t="shared" si="3"/>
        <v>251602</v>
      </c>
      <c r="L21" s="18">
        <f t="shared" si="3"/>
        <v>267702</v>
      </c>
      <c r="M21" s="18">
        <f t="shared" si="3"/>
        <v>277676</v>
      </c>
      <c r="N21" s="18">
        <f t="shared" si="3"/>
        <v>305075</v>
      </c>
      <c r="O21" s="17">
        <f t="shared" si="3"/>
        <v>284524</v>
      </c>
      <c r="P21" s="17">
        <f t="shared" si="3"/>
        <v>290330</v>
      </c>
    </row>
    <row r="22" spans="2:16" ht="11.25">
      <c r="B22" s="2" t="s">
        <v>19</v>
      </c>
      <c r="C22" s="18">
        <v>0</v>
      </c>
      <c r="D22" s="18">
        <v>137</v>
      </c>
      <c r="E22" s="18">
        <v>163</v>
      </c>
      <c r="F22" s="19">
        <v>243</v>
      </c>
      <c r="G22" s="17"/>
      <c r="H22" s="17"/>
      <c r="I22" s="17"/>
      <c r="J22" s="17"/>
      <c r="K22" s="20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172826</v>
      </c>
      <c r="D23" s="17">
        <v>178385</v>
      </c>
      <c r="E23" s="18">
        <v>185032</v>
      </c>
      <c r="F23" s="19">
        <v>203284</v>
      </c>
      <c r="G23" s="17">
        <f>52879+160527</f>
        <v>213406</v>
      </c>
      <c r="H23" s="17">
        <f>36530+176304</f>
        <v>212834</v>
      </c>
      <c r="I23" s="17">
        <v>228621</v>
      </c>
      <c r="J23" s="17">
        <v>243949</v>
      </c>
      <c r="K23" s="20">
        <f>38255+196313</f>
        <v>234568</v>
      </c>
      <c r="L23" s="18">
        <v>247883</v>
      </c>
      <c r="M23" s="18">
        <v>236472</v>
      </c>
      <c r="N23" s="18">
        <v>262543</v>
      </c>
      <c r="O23" s="17">
        <v>261588</v>
      </c>
      <c r="P23" s="17">
        <v>253764</v>
      </c>
    </row>
    <row r="24" spans="2:16" ht="11.25">
      <c r="B24" s="2" t="s">
        <v>21</v>
      </c>
      <c r="C24" s="17">
        <v>511</v>
      </c>
      <c r="D24" s="17">
        <v>7711</v>
      </c>
      <c r="E24" s="18">
        <v>12839</v>
      </c>
      <c r="F24" s="19">
        <f>4718+16939</f>
        <v>21657</v>
      </c>
      <c r="G24" s="17">
        <v>22556</v>
      </c>
      <c r="H24" s="17">
        <f>10268+3836</f>
        <v>14104</v>
      </c>
      <c r="I24" s="17">
        <v>16972</v>
      </c>
      <c r="J24" s="17">
        <v>17711</v>
      </c>
      <c r="K24" s="20">
        <f>11946+5088</f>
        <v>17034</v>
      </c>
      <c r="L24" s="18">
        <v>19819</v>
      </c>
      <c r="M24" s="18">
        <v>41204</v>
      </c>
      <c r="N24" s="18">
        <v>42532</v>
      </c>
      <c r="O24" s="17">
        <v>22936</v>
      </c>
      <c r="P24" s="17">
        <v>36566</v>
      </c>
    </row>
    <row r="25" spans="1:16" ht="11.25">
      <c r="A25" s="3" t="s">
        <v>22</v>
      </c>
      <c r="B25" s="3"/>
      <c r="C25" s="24">
        <v>19326</v>
      </c>
      <c r="D25" s="24">
        <v>20561</v>
      </c>
      <c r="E25" s="24">
        <v>20249</v>
      </c>
      <c r="F25" s="25">
        <v>44521</v>
      </c>
      <c r="G25" s="24">
        <v>43589</v>
      </c>
      <c r="H25" s="24">
        <v>42830</v>
      </c>
      <c r="I25" s="24">
        <v>40495</v>
      </c>
      <c r="J25" s="24">
        <v>39807</v>
      </c>
      <c r="K25" s="26">
        <v>39264</v>
      </c>
      <c r="L25" s="24">
        <v>33508</v>
      </c>
      <c r="M25" s="24">
        <v>37927</v>
      </c>
      <c r="N25" s="24">
        <v>36437</v>
      </c>
      <c r="O25" s="24">
        <v>34496</v>
      </c>
      <c r="P25" s="24">
        <v>32162</v>
      </c>
    </row>
    <row r="26" spans="1:16" ht="11.25">
      <c r="A26" s="11" t="s">
        <v>23</v>
      </c>
      <c r="C26" s="5"/>
      <c r="D26" s="17"/>
      <c r="E26" s="18"/>
      <c r="F26" s="27"/>
      <c r="J26" s="17"/>
      <c r="K26" s="20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255590</v>
      </c>
      <c r="D27" s="18">
        <f t="shared" si="4"/>
        <v>252918.5</v>
      </c>
      <c r="E27" s="18">
        <f t="shared" si="4"/>
        <v>274709</v>
      </c>
      <c r="F27" s="19">
        <f t="shared" si="4"/>
        <v>314896</v>
      </c>
      <c r="G27" s="17">
        <f t="shared" si="4"/>
        <v>310333.5</v>
      </c>
      <c r="H27" s="17">
        <f t="shared" si="4"/>
        <v>302382</v>
      </c>
      <c r="I27" s="17">
        <f t="shared" si="4"/>
        <v>332405</v>
      </c>
      <c r="J27" s="17">
        <f>+(J10+N10)/2</f>
        <v>348532.5</v>
      </c>
      <c r="K27" s="20">
        <f>+(K10+O10)/2</f>
        <v>327609</v>
      </c>
      <c r="L27" s="18">
        <f>+(284477+L10)/2</f>
        <v>298623</v>
      </c>
      <c r="M27" s="18">
        <f>+(289329+M10)/2</f>
        <v>314899.5</v>
      </c>
      <c r="N27" s="18">
        <f>+(262711+N10)/2</f>
        <v>310948.5</v>
      </c>
      <c r="O27" s="17">
        <f>+(O10+P10)/2</f>
        <v>338113.5</v>
      </c>
      <c r="P27" s="17">
        <f>(P10+269980)/2</f>
        <v>305647.5</v>
      </c>
    </row>
    <row r="28" spans="1:16" ht="11.25">
      <c r="A28" s="2" t="s">
        <v>24</v>
      </c>
      <c r="C28" s="18">
        <f aca="true" t="shared" si="5" ref="C28:P28">C29+C30</f>
        <v>184652</v>
      </c>
      <c r="D28" s="18">
        <f t="shared" si="5"/>
        <v>171575.5</v>
      </c>
      <c r="E28" s="18">
        <f t="shared" si="5"/>
        <v>195483.5</v>
      </c>
      <c r="F28" s="19">
        <f t="shared" si="5"/>
        <v>229918.5</v>
      </c>
      <c r="G28" s="17">
        <f t="shared" si="5"/>
        <v>237634</v>
      </c>
      <c r="H28" s="17">
        <f t="shared" si="5"/>
        <v>218252</v>
      </c>
      <c r="I28" s="17">
        <f t="shared" si="5"/>
        <v>258181</v>
      </c>
      <c r="J28" s="17">
        <f t="shared" si="5"/>
        <v>271378</v>
      </c>
      <c r="K28" s="20">
        <f t="shared" si="5"/>
        <v>261777</v>
      </c>
      <c r="L28" s="18">
        <f t="shared" si="5"/>
        <v>237345.5</v>
      </c>
      <c r="M28" s="18">
        <f t="shared" si="5"/>
        <v>290889</v>
      </c>
      <c r="N28" s="18">
        <f t="shared" si="5"/>
        <v>290439</v>
      </c>
      <c r="O28" s="17">
        <f t="shared" si="5"/>
        <v>276949.5</v>
      </c>
      <c r="P28" s="17">
        <f t="shared" si="5"/>
        <v>258075</v>
      </c>
    </row>
    <row r="29" spans="2:16" ht="11.25">
      <c r="B29" s="2" t="s">
        <v>14</v>
      </c>
      <c r="C29" s="18">
        <f aca="true" t="shared" si="6" ref="C29:I29">(C12+G12)/2</f>
        <v>182529.5</v>
      </c>
      <c r="D29" s="18">
        <f t="shared" si="6"/>
        <v>171164.5</v>
      </c>
      <c r="E29" s="18">
        <f t="shared" si="6"/>
        <v>188780.5</v>
      </c>
      <c r="F29" s="19">
        <f t="shared" si="6"/>
        <v>224753.5</v>
      </c>
      <c r="G29" s="17">
        <f t="shared" si="6"/>
        <v>232402</v>
      </c>
      <c r="H29" s="17">
        <f t="shared" si="6"/>
        <v>217331.5</v>
      </c>
      <c r="I29" s="17">
        <f t="shared" si="6"/>
        <v>252708</v>
      </c>
      <c r="J29" s="17">
        <f>+(J12+N12)/2</f>
        <v>267448.5</v>
      </c>
      <c r="K29" s="20">
        <f>+(K12+O12)/2</f>
        <v>258052</v>
      </c>
      <c r="L29" s="18">
        <f>+(244503+L12)/2</f>
        <v>236082.5</v>
      </c>
      <c r="M29" s="18">
        <f>+(292898+M12)/2</f>
        <v>289620.5</v>
      </c>
      <c r="N29" s="18">
        <f>+(273228+N12)/2</f>
        <v>289663.5</v>
      </c>
      <c r="O29" s="17">
        <f>+(O12+P12)/2</f>
        <v>276171.5</v>
      </c>
      <c r="P29" s="17">
        <f>(P12+242966)/2</f>
        <v>257598</v>
      </c>
    </row>
    <row r="30" spans="2:16" ht="11.25">
      <c r="B30" s="2" t="s">
        <v>17</v>
      </c>
      <c r="C30" s="18">
        <f aca="true" t="shared" si="7" ref="C30:I30">(C15+G15)/2</f>
        <v>2122.5</v>
      </c>
      <c r="D30" s="18">
        <f t="shared" si="7"/>
        <v>411</v>
      </c>
      <c r="E30" s="18">
        <f t="shared" si="7"/>
        <v>6703</v>
      </c>
      <c r="F30" s="19">
        <f t="shared" si="7"/>
        <v>5165</v>
      </c>
      <c r="G30" s="17">
        <f t="shared" si="7"/>
        <v>5232</v>
      </c>
      <c r="H30" s="17">
        <f t="shared" si="7"/>
        <v>920.5</v>
      </c>
      <c r="I30" s="17">
        <f t="shared" si="7"/>
        <v>5473</v>
      </c>
      <c r="J30" s="17">
        <f>+(J15+N15)/2</f>
        <v>3929.5</v>
      </c>
      <c r="K30" s="20">
        <f>+(K15+O15)/2</f>
        <v>3725</v>
      </c>
      <c r="L30" s="18">
        <f>+(1307+L15)/2</f>
        <v>1263</v>
      </c>
      <c r="M30" s="18">
        <f>+(1317+M15)/2</f>
        <v>1268.5</v>
      </c>
      <c r="N30" s="18">
        <f>+(321+N15)/2</f>
        <v>775.5</v>
      </c>
      <c r="O30" s="17">
        <f>+(O15+P15)/2</f>
        <v>778</v>
      </c>
      <c r="P30" s="17">
        <f>(P15+629)/2</f>
        <v>477</v>
      </c>
    </row>
    <row r="31" spans="1:16" ht="11.25">
      <c r="A31" s="3" t="s">
        <v>22</v>
      </c>
      <c r="B31" s="3"/>
      <c r="C31" s="24">
        <f aca="true" t="shared" si="8" ref="C31:I31">(C25+G25)/2</f>
        <v>31457.5</v>
      </c>
      <c r="D31" s="18">
        <f t="shared" si="8"/>
        <v>31695.5</v>
      </c>
      <c r="E31" s="18">
        <f t="shared" si="8"/>
        <v>30372</v>
      </c>
      <c r="F31" s="25">
        <f t="shared" si="8"/>
        <v>42164</v>
      </c>
      <c r="G31" s="24">
        <f t="shared" si="8"/>
        <v>41426.5</v>
      </c>
      <c r="H31" s="24">
        <f t="shared" si="8"/>
        <v>38169</v>
      </c>
      <c r="I31" s="24">
        <f t="shared" si="8"/>
        <v>39211</v>
      </c>
      <c r="J31" s="24">
        <f>+(J25+N25)/2</f>
        <v>38122</v>
      </c>
      <c r="K31" s="26">
        <f>+(K25+O25)/2</f>
        <v>36880</v>
      </c>
      <c r="L31" s="24">
        <f>+(33185+L25)/2</f>
        <v>33346.5</v>
      </c>
      <c r="M31" s="24">
        <f>+(33397+M25)/2</f>
        <v>35662</v>
      </c>
      <c r="N31" s="24">
        <f>+(33185+N25)/2</f>
        <v>34811</v>
      </c>
      <c r="O31" s="24">
        <f>+(O25+P25)/2</f>
        <v>33329</v>
      </c>
      <c r="P31" s="24">
        <f>(P25+26700)/2</f>
        <v>29431</v>
      </c>
    </row>
    <row r="32" spans="1:14" ht="11.25">
      <c r="A32" s="11" t="s">
        <v>25</v>
      </c>
      <c r="D32" s="28"/>
      <c r="E32" s="28"/>
      <c r="F32" s="27"/>
      <c r="J32" s="17"/>
      <c r="K32" s="29"/>
      <c r="L32" s="4"/>
      <c r="M32" s="4"/>
      <c r="N32" s="4"/>
    </row>
    <row r="33" spans="1:16" ht="11.25">
      <c r="A33" s="2" t="s">
        <v>26</v>
      </c>
      <c r="C33" s="17">
        <v>15986</v>
      </c>
      <c r="D33" s="18">
        <v>12982</v>
      </c>
      <c r="E33" s="18">
        <v>9376</v>
      </c>
      <c r="F33" s="19">
        <v>4906</v>
      </c>
      <c r="G33" s="17">
        <v>23720</v>
      </c>
      <c r="H33" s="17">
        <v>18606</v>
      </c>
      <c r="I33" s="17">
        <v>12865</v>
      </c>
      <c r="J33" s="17">
        <v>6696</v>
      </c>
      <c r="K33" s="20">
        <v>29399</v>
      </c>
      <c r="L33" s="18">
        <v>22206</v>
      </c>
      <c r="M33" s="18">
        <v>15323</v>
      </c>
      <c r="N33" s="18">
        <v>7660</v>
      </c>
      <c r="O33" s="17">
        <v>24415</v>
      </c>
      <c r="P33" s="17">
        <v>23964</v>
      </c>
    </row>
    <row r="34" spans="1:16" ht="11.25">
      <c r="A34" s="2" t="s">
        <v>27</v>
      </c>
      <c r="C34" s="17">
        <v>9917</v>
      </c>
      <c r="D34" s="18">
        <v>7778</v>
      </c>
      <c r="E34" s="18">
        <v>5333</v>
      </c>
      <c r="F34" s="19">
        <v>2728</v>
      </c>
      <c r="G34" s="17">
        <v>14475</v>
      </c>
      <c r="H34" s="17">
        <v>11640</v>
      </c>
      <c r="I34" s="17">
        <v>8190</v>
      </c>
      <c r="J34" s="17">
        <v>4356</v>
      </c>
      <c r="K34" s="20">
        <v>18928</v>
      </c>
      <c r="L34" s="18">
        <v>13982</v>
      </c>
      <c r="M34" s="18">
        <v>9438</v>
      </c>
      <c r="N34" s="18">
        <v>4805</v>
      </c>
      <c r="O34" s="17">
        <v>16813</v>
      </c>
      <c r="P34" s="17">
        <v>14438</v>
      </c>
    </row>
    <row r="35" spans="1:16" ht="11.25">
      <c r="A35" s="2" t="s">
        <v>28</v>
      </c>
      <c r="C35" s="18">
        <f>+C33-C34</f>
        <v>6069</v>
      </c>
      <c r="D35" s="18">
        <f>+D33-D34</f>
        <v>5204</v>
      </c>
      <c r="E35" s="18">
        <f>+E33-E34</f>
        <v>4043</v>
      </c>
      <c r="F35" s="19">
        <f>+F33-F34</f>
        <v>2178</v>
      </c>
      <c r="G35" s="17">
        <f>+G33-G34</f>
        <v>9245</v>
      </c>
      <c r="H35" s="17">
        <f aca="true" t="shared" si="9" ref="H35:P35">H33-H34</f>
        <v>6966</v>
      </c>
      <c r="I35" s="17">
        <f t="shared" si="9"/>
        <v>4675</v>
      </c>
      <c r="J35" s="17">
        <f t="shared" si="9"/>
        <v>2340</v>
      </c>
      <c r="K35" s="20">
        <f t="shared" si="9"/>
        <v>10471</v>
      </c>
      <c r="L35" s="18">
        <f t="shared" si="9"/>
        <v>8224</v>
      </c>
      <c r="M35" s="18">
        <f t="shared" si="9"/>
        <v>5885</v>
      </c>
      <c r="N35" s="18">
        <f t="shared" si="9"/>
        <v>2855</v>
      </c>
      <c r="O35" s="17">
        <f t="shared" si="9"/>
        <v>7602</v>
      </c>
      <c r="P35" s="17">
        <f t="shared" si="9"/>
        <v>9526</v>
      </c>
    </row>
    <row r="36" spans="1:16" ht="11.25">
      <c r="A36" s="2" t="s">
        <v>29</v>
      </c>
      <c r="C36" s="17">
        <v>1682</v>
      </c>
      <c r="D36" s="18">
        <v>1642</v>
      </c>
      <c r="E36" s="18">
        <v>1186</v>
      </c>
      <c r="F36" s="19">
        <v>618</v>
      </c>
      <c r="G36" s="17">
        <v>3351</v>
      </c>
      <c r="H36" s="17">
        <v>2881</v>
      </c>
      <c r="I36" s="17">
        <v>884</v>
      </c>
      <c r="J36" s="17">
        <v>494</v>
      </c>
      <c r="K36" s="20">
        <v>2515</v>
      </c>
      <c r="L36" s="18">
        <v>2152</v>
      </c>
      <c r="M36" s="18">
        <v>1673</v>
      </c>
      <c r="N36" s="18">
        <v>1116</v>
      </c>
      <c r="O36" s="17">
        <v>3113</v>
      </c>
      <c r="P36" s="17">
        <v>2619</v>
      </c>
    </row>
    <row r="37" spans="1:16" ht="11.25">
      <c r="A37" s="2" t="s">
        <v>30</v>
      </c>
      <c r="C37" s="17">
        <f>+C36+C35</f>
        <v>7751</v>
      </c>
      <c r="D37" s="18">
        <f>+D36+D35</f>
        <v>6846</v>
      </c>
      <c r="E37" s="18">
        <f>+E36+E35</f>
        <v>5229</v>
      </c>
      <c r="F37" s="19">
        <f>+F36+F35</f>
        <v>2796</v>
      </c>
      <c r="G37" s="17">
        <f>+G36+G35</f>
        <v>12596</v>
      </c>
      <c r="H37" s="17">
        <f aca="true" t="shared" si="10" ref="H37:P37">H35+H36</f>
        <v>9847</v>
      </c>
      <c r="I37" s="17">
        <f t="shared" si="10"/>
        <v>5559</v>
      </c>
      <c r="J37" s="17">
        <f t="shared" si="10"/>
        <v>2834</v>
      </c>
      <c r="K37" s="20">
        <f t="shared" si="10"/>
        <v>12986</v>
      </c>
      <c r="L37" s="18">
        <f t="shared" si="10"/>
        <v>10376</v>
      </c>
      <c r="M37" s="18">
        <f t="shared" si="10"/>
        <v>7558</v>
      </c>
      <c r="N37" s="18">
        <f t="shared" si="10"/>
        <v>3971</v>
      </c>
      <c r="O37" s="17">
        <f t="shared" si="10"/>
        <v>10715</v>
      </c>
      <c r="P37" s="17">
        <f t="shared" si="10"/>
        <v>12145</v>
      </c>
    </row>
    <row r="38" spans="1:16" ht="11.25">
      <c r="A38" s="2" t="s">
        <v>31</v>
      </c>
      <c r="C38" s="17">
        <v>6050</v>
      </c>
      <c r="D38" s="18">
        <v>4028</v>
      </c>
      <c r="E38" s="18">
        <v>2803</v>
      </c>
      <c r="F38" s="19">
        <v>1353</v>
      </c>
      <c r="G38" s="17">
        <v>6015</v>
      </c>
      <c r="H38" s="17">
        <v>4596</v>
      </c>
      <c r="I38" s="17">
        <v>3208</v>
      </c>
      <c r="J38" s="17">
        <v>1710</v>
      </c>
      <c r="K38" s="20">
        <v>15532</v>
      </c>
      <c r="L38" s="18">
        <v>13971</v>
      </c>
      <c r="M38" s="18">
        <v>3008</v>
      </c>
      <c r="N38" s="18">
        <v>1427</v>
      </c>
      <c r="O38" s="17">
        <v>6271</v>
      </c>
      <c r="P38" s="17">
        <v>4792</v>
      </c>
    </row>
    <row r="39" spans="1:16" ht="11.25">
      <c r="A39" s="2" t="s">
        <v>32</v>
      </c>
      <c r="C39" s="17">
        <f>+C37-C38</f>
        <v>1701</v>
      </c>
      <c r="D39" s="18">
        <f>+D37-D38</f>
        <v>2818</v>
      </c>
      <c r="E39" s="18">
        <f>+E37-E38</f>
        <v>2426</v>
      </c>
      <c r="F39" s="19">
        <f>+F37-F38</f>
        <v>1443</v>
      </c>
      <c r="G39" s="17">
        <f>+G37-G38</f>
        <v>6581</v>
      </c>
      <c r="H39" s="17">
        <f aca="true" t="shared" si="11" ref="H39:P39">H37-H38</f>
        <v>5251</v>
      </c>
      <c r="I39" s="17">
        <f t="shared" si="11"/>
        <v>2351</v>
      </c>
      <c r="J39" s="17">
        <f t="shared" si="11"/>
        <v>1124</v>
      </c>
      <c r="K39" s="20">
        <f t="shared" si="11"/>
        <v>-2546</v>
      </c>
      <c r="L39" s="18">
        <f t="shared" si="11"/>
        <v>-3595</v>
      </c>
      <c r="M39" s="18">
        <f t="shared" si="11"/>
        <v>4550</v>
      </c>
      <c r="N39" s="18">
        <f t="shared" si="11"/>
        <v>2544</v>
      </c>
      <c r="O39" s="17">
        <f t="shared" si="11"/>
        <v>4444</v>
      </c>
      <c r="P39" s="17">
        <f t="shared" si="11"/>
        <v>7353</v>
      </c>
    </row>
    <row r="40" spans="1:16" ht="11.25">
      <c r="A40" s="3" t="s">
        <v>33</v>
      </c>
      <c r="B40" s="3"/>
      <c r="C40" s="18">
        <f>+C39-1117</f>
        <v>584</v>
      </c>
      <c r="D40" s="24">
        <v>1820</v>
      </c>
      <c r="E40" s="24">
        <v>1508</v>
      </c>
      <c r="F40" s="25">
        <f>+F39-510</f>
        <v>933</v>
      </c>
      <c r="G40" s="24">
        <f>+G39-2255</f>
        <v>4326</v>
      </c>
      <c r="H40" s="24">
        <f>5251-1685</f>
        <v>3566</v>
      </c>
      <c r="I40" s="24">
        <v>1231</v>
      </c>
      <c r="J40" s="24">
        <v>543</v>
      </c>
      <c r="K40" s="26">
        <v>-25236</v>
      </c>
      <c r="L40" s="24">
        <v>-25988</v>
      </c>
      <c r="M40" s="24">
        <v>3431</v>
      </c>
      <c r="N40" s="24">
        <v>1941</v>
      </c>
      <c r="O40" s="24">
        <v>2973</v>
      </c>
      <c r="P40" s="24">
        <v>5759</v>
      </c>
    </row>
    <row r="41" spans="1:14" ht="11.25">
      <c r="A41" s="11" t="s">
        <v>34</v>
      </c>
      <c r="C41" s="5"/>
      <c r="E41" s="18"/>
      <c r="F41" s="27"/>
      <c r="I41" s="17"/>
      <c r="K41" s="29"/>
      <c r="L41" s="4"/>
      <c r="M41" s="4"/>
      <c r="N41" s="4"/>
    </row>
    <row r="42" spans="1:16" ht="11.25">
      <c r="A42" s="2" t="s">
        <v>35</v>
      </c>
      <c r="C42" s="18">
        <v>1200</v>
      </c>
      <c r="D42" s="18">
        <v>0</v>
      </c>
      <c r="E42" s="18">
        <v>0</v>
      </c>
      <c r="F42" s="19">
        <v>4964</v>
      </c>
      <c r="G42" s="17">
        <v>4975</v>
      </c>
      <c r="H42" s="17">
        <v>4980</v>
      </c>
      <c r="I42" s="17">
        <v>15035</v>
      </c>
      <c r="J42" s="17">
        <v>34701</v>
      </c>
      <c r="K42" s="30">
        <v>0</v>
      </c>
      <c r="L42" s="21">
        <v>0</v>
      </c>
      <c r="M42" s="21">
        <v>0</v>
      </c>
      <c r="N42" s="21">
        <v>0</v>
      </c>
      <c r="O42" s="23">
        <v>0</v>
      </c>
      <c r="P42" s="23">
        <v>0</v>
      </c>
    </row>
    <row r="43" spans="1:16" ht="11.25">
      <c r="A43" s="2" t="s">
        <v>36</v>
      </c>
      <c r="C43" s="31">
        <v>3485</v>
      </c>
      <c r="D43" s="17">
        <v>3335</v>
      </c>
      <c r="E43" s="18">
        <v>3255</v>
      </c>
      <c r="F43" s="19">
        <v>18728</v>
      </c>
      <c r="G43" s="17">
        <v>18218</v>
      </c>
      <c r="H43" s="17">
        <v>17648</v>
      </c>
      <c r="I43" s="17">
        <v>27121</v>
      </c>
      <c r="J43" s="17">
        <v>26581</v>
      </c>
      <c r="K43" s="20">
        <v>26167</v>
      </c>
      <c r="L43" s="18">
        <v>5170</v>
      </c>
      <c r="M43" s="18">
        <v>4596</v>
      </c>
      <c r="N43" s="18">
        <v>4079</v>
      </c>
      <c r="O43" s="17">
        <v>3749</v>
      </c>
      <c r="P43" s="17">
        <v>1331</v>
      </c>
    </row>
    <row r="44" spans="1:16" ht="11.25">
      <c r="A44" s="2" t="s">
        <v>37</v>
      </c>
      <c r="C44" s="32">
        <f aca="true" t="shared" si="12" ref="C44:I44">C42/C12</f>
        <v>0.00880759802122631</v>
      </c>
      <c r="D44" s="32">
        <f t="shared" si="12"/>
        <v>0</v>
      </c>
      <c r="E44" s="32">
        <f t="shared" si="12"/>
        <v>0</v>
      </c>
      <c r="F44" s="33">
        <f t="shared" si="12"/>
        <v>0.022491153509825154</v>
      </c>
      <c r="G44" s="34">
        <f t="shared" si="12"/>
        <v>0.021742645741282183</v>
      </c>
      <c r="H44" s="34">
        <f t="shared" si="12"/>
        <v>0.024057854792972014</v>
      </c>
      <c r="I44" s="34">
        <f t="shared" si="12"/>
        <v>0.06863009133941654</v>
      </c>
      <c r="J44" s="34">
        <f aca="true" t="shared" si="13" ref="J44:P44">+J42/J12</f>
        <v>0.1516665355466394</v>
      </c>
      <c r="K44" s="35">
        <f t="shared" si="13"/>
        <v>0</v>
      </c>
      <c r="L44" s="32">
        <f t="shared" si="13"/>
        <v>0</v>
      </c>
      <c r="M44" s="32">
        <f t="shared" si="13"/>
        <v>0</v>
      </c>
      <c r="N44" s="32">
        <f t="shared" si="13"/>
        <v>0</v>
      </c>
      <c r="O44" s="34">
        <f t="shared" si="13"/>
        <v>0</v>
      </c>
      <c r="P44" s="34">
        <f t="shared" si="13"/>
        <v>0</v>
      </c>
    </row>
    <row r="45" spans="1:16" ht="11.25">
      <c r="A45" s="4" t="s">
        <v>38</v>
      </c>
      <c r="C45" s="32">
        <f>+C43/C42</f>
        <v>2.904166666666667</v>
      </c>
      <c r="D45" s="32">
        <v>0</v>
      </c>
      <c r="E45" s="32">
        <v>0</v>
      </c>
      <c r="F45" s="33">
        <f>+F43/F42</f>
        <v>3.77276390008058</v>
      </c>
      <c r="G45" s="34">
        <f>+G43/G42</f>
        <v>3.6619095477386936</v>
      </c>
      <c r="H45" s="34">
        <f>+H43/H42</f>
        <v>3.5437751004016063</v>
      </c>
      <c r="I45" s="34">
        <f>+I43/I42</f>
        <v>1.8038576654472898</v>
      </c>
      <c r="J45" s="33">
        <f>+J43/J42</f>
        <v>0.7660009797988531</v>
      </c>
      <c r="K45" s="34">
        <v>0</v>
      </c>
      <c r="L45" s="34">
        <v>0</v>
      </c>
      <c r="M45" s="34">
        <v>0</v>
      </c>
      <c r="N45" s="32">
        <v>0</v>
      </c>
      <c r="O45" s="34">
        <v>0</v>
      </c>
      <c r="P45" s="34">
        <v>0</v>
      </c>
    </row>
    <row r="46" spans="1:16" ht="11.25">
      <c r="A46" s="3" t="s">
        <v>39</v>
      </c>
      <c r="B46" s="3"/>
      <c r="C46" s="36">
        <f aca="true" t="shared" si="14" ref="C46:I46">C43/C12</f>
        <v>0.025578732586644747</v>
      </c>
      <c r="D46" s="36">
        <f t="shared" si="14"/>
        <v>0.02464382832820998</v>
      </c>
      <c r="E46" s="36">
        <f t="shared" si="14"/>
        <v>0.020537832517288374</v>
      </c>
      <c r="F46" s="37">
        <f t="shared" si="14"/>
        <v>0.08485381203303898</v>
      </c>
      <c r="G46" s="36">
        <f t="shared" si="14"/>
        <v>0.07961960203310127</v>
      </c>
      <c r="H46" s="36">
        <f t="shared" si="14"/>
        <v>0.08525562678441168</v>
      </c>
      <c r="I46" s="36">
        <f t="shared" si="14"/>
        <v>0.12379891634295417</v>
      </c>
      <c r="J46" s="36">
        <f aca="true" t="shared" si="15" ref="J46:P46">+J43/J12</f>
        <v>0.11617671483142335</v>
      </c>
      <c r="K46" s="38">
        <f t="shared" si="15"/>
        <v>0.1108813471700192</v>
      </c>
      <c r="L46" s="36">
        <f t="shared" si="15"/>
        <v>0.022709103846930978</v>
      </c>
      <c r="M46" s="36">
        <f t="shared" si="15"/>
        <v>0.016050680477609023</v>
      </c>
      <c r="N46" s="36">
        <f t="shared" si="15"/>
        <v>0.013325754086096328</v>
      </c>
      <c r="O46" s="36">
        <f t="shared" si="15"/>
        <v>0.01338388436095433</v>
      </c>
      <c r="P46" s="36">
        <f t="shared" si="15"/>
        <v>0.004889248062300261</v>
      </c>
    </row>
    <row r="47" spans="1:16" ht="11.25">
      <c r="A47" s="11" t="s">
        <v>40</v>
      </c>
      <c r="E47" s="18"/>
      <c r="F47" s="27"/>
      <c r="G47" s="5"/>
      <c r="H47" s="5"/>
      <c r="I47" s="5"/>
      <c r="J47" s="39"/>
      <c r="K47" s="5"/>
      <c r="L47" s="5"/>
      <c r="M47" s="5"/>
      <c r="N47" s="4"/>
      <c r="O47" s="5"/>
      <c r="P47" s="5"/>
    </row>
    <row r="48" spans="1:16" ht="11.25">
      <c r="A48" s="2" t="s">
        <v>41</v>
      </c>
      <c r="C48" s="32">
        <f>+C25/C12</f>
        <v>0.14184636613184975</v>
      </c>
      <c r="D48" s="32">
        <f>+D25/D12</f>
        <v>0.1519345589973989</v>
      </c>
      <c r="E48" s="32">
        <f>+E25/E12</f>
        <v>0.12776361617283327</v>
      </c>
      <c r="F48" s="33">
        <f aca="true" t="shared" si="16" ref="F48:P48">F25/F12</f>
        <v>0.20171809939784965</v>
      </c>
      <c r="G48" s="32">
        <f t="shared" si="16"/>
        <v>0.1905005397420601</v>
      </c>
      <c r="H48" s="32">
        <f t="shared" si="16"/>
        <v>0.2069072130086328</v>
      </c>
      <c r="I48" s="32">
        <f t="shared" si="16"/>
        <v>0.18484706011238264</v>
      </c>
      <c r="J48" s="33">
        <f t="shared" si="16"/>
        <v>0.17398316418849816</v>
      </c>
      <c r="K48" s="32">
        <f t="shared" si="16"/>
        <v>0.1663792263264277</v>
      </c>
      <c r="L48" s="32">
        <f t="shared" si="16"/>
        <v>0.147183104778136</v>
      </c>
      <c r="M48" s="32">
        <f t="shared" si="16"/>
        <v>0.13245303709187933</v>
      </c>
      <c r="N48" s="32">
        <f t="shared" si="16"/>
        <v>0.11903665154084137</v>
      </c>
      <c r="O48" s="32">
        <f t="shared" si="16"/>
        <v>0.1231503000574768</v>
      </c>
      <c r="P48" s="32">
        <f t="shared" si="16"/>
        <v>0.11814274694192411</v>
      </c>
    </row>
    <row r="49" spans="1:16" ht="11.25">
      <c r="A49" s="3" t="s">
        <v>42</v>
      </c>
      <c r="B49" s="3"/>
      <c r="C49" s="36">
        <f aca="true" t="shared" si="17" ref="C49:P49">C25/(C12+C15)</f>
        <v>0.14184636613184975</v>
      </c>
      <c r="D49" s="36">
        <f t="shared" si="17"/>
        <v>0.15171034767723274</v>
      </c>
      <c r="E49" s="36">
        <f t="shared" si="17"/>
        <v>0.12486433821715752</v>
      </c>
      <c r="F49" s="37">
        <f t="shared" si="17"/>
        <v>0.19839133728443473</v>
      </c>
      <c r="G49" s="36">
        <f t="shared" si="17"/>
        <v>0.18703069622154142</v>
      </c>
      <c r="H49" s="36">
        <f t="shared" si="17"/>
        <v>0.20628735737370138</v>
      </c>
      <c r="I49" s="36">
        <f t="shared" si="17"/>
        <v>0.17698940991874965</v>
      </c>
      <c r="J49" s="37">
        <f t="shared" si="17"/>
        <v>0.16908425966435456</v>
      </c>
      <c r="K49" s="36">
        <f t="shared" si="17"/>
        <v>0.16210726229305147</v>
      </c>
      <c r="L49" s="36">
        <f t="shared" si="17"/>
        <v>0.14639922055565993</v>
      </c>
      <c r="M49" s="36">
        <f t="shared" si="17"/>
        <v>0.1318910986462097</v>
      </c>
      <c r="N49" s="36">
        <f t="shared" si="17"/>
        <v>0.118560240003384</v>
      </c>
      <c r="O49" s="36">
        <f t="shared" si="17"/>
        <v>0.12261146496815287</v>
      </c>
      <c r="P49" s="36">
        <f t="shared" si="17"/>
        <v>0.11800187118196327</v>
      </c>
    </row>
    <row r="50" spans="1:14" ht="11.25">
      <c r="A50" s="11" t="s">
        <v>43</v>
      </c>
      <c r="C50" s="18"/>
      <c r="D50" s="18"/>
      <c r="E50" s="18"/>
      <c r="F50" s="27"/>
      <c r="K50" s="29"/>
      <c r="L50" s="4"/>
      <c r="M50" s="4"/>
      <c r="N50" s="4"/>
    </row>
    <row r="51" spans="1:16" ht="11.25">
      <c r="A51" s="2" t="s">
        <v>44</v>
      </c>
      <c r="C51" s="32">
        <f aca="true" t="shared" si="18" ref="C51:I51">C11/C16</f>
        <v>0.3459157594743188</v>
      </c>
      <c r="D51" s="32">
        <f t="shared" si="18"/>
        <v>0.3932976432748224</v>
      </c>
      <c r="E51" s="32">
        <f t="shared" si="18"/>
        <v>0.2886928507226032</v>
      </c>
      <c r="F51" s="40">
        <f t="shared" si="18"/>
        <v>0.25562206906352136</v>
      </c>
      <c r="G51" s="41">
        <f t="shared" si="18"/>
        <v>0.24700587382714165</v>
      </c>
      <c r="H51" s="41">
        <f t="shared" si="18"/>
        <v>0.3314032907666411</v>
      </c>
      <c r="I51" s="41">
        <f t="shared" si="18"/>
        <v>0.33323832519656504</v>
      </c>
      <c r="J51" s="34">
        <f>+J11/J16</f>
        <v>0.337793319575021</v>
      </c>
      <c r="K51" s="35">
        <f aca="true" t="shared" si="19" ref="K51:P51">K11/K16</f>
        <v>0.2564089315665217</v>
      </c>
      <c r="L51" s="32">
        <f t="shared" si="19"/>
        <v>0.2561766441789751</v>
      </c>
      <c r="M51" s="32">
        <f t="shared" si="19"/>
        <v>0.14994814099886197</v>
      </c>
      <c r="N51" s="32">
        <f t="shared" si="19"/>
        <v>0.13915922314185036</v>
      </c>
      <c r="O51" s="34">
        <f t="shared" si="19"/>
        <v>0.1564718617761595</v>
      </c>
      <c r="P51" s="34">
        <f t="shared" si="19"/>
        <v>0.1949884614059863</v>
      </c>
    </row>
    <row r="52" spans="1:16" ht="11.25">
      <c r="A52" s="2" t="s">
        <v>45</v>
      </c>
      <c r="C52" s="32">
        <f aca="true" t="shared" si="20" ref="C52:I52">C11/C10</f>
        <v>0.2844145926126203</v>
      </c>
      <c r="D52" s="32">
        <f t="shared" si="20"/>
        <v>0.3425192431795438</v>
      </c>
      <c r="E52" s="32">
        <f t="shared" si="20"/>
        <v>0.2540052781702343</v>
      </c>
      <c r="F52" s="40">
        <f t="shared" si="20"/>
        <v>0.1971888884701949</v>
      </c>
      <c r="G52" s="41">
        <f t="shared" si="20"/>
        <v>0.19404649738148427</v>
      </c>
      <c r="H52" s="41">
        <f t="shared" si="20"/>
        <v>0.25756605421325707</v>
      </c>
      <c r="I52" s="41">
        <f t="shared" si="20"/>
        <v>0.25233088734044523</v>
      </c>
      <c r="J52" s="34">
        <f>+J11/J10</f>
        <v>0.26159364742999713</v>
      </c>
      <c r="K52" s="35">
        <f aca="true" t="shared" si="21" ref="K52:P52">K11/K10</f>
        <v>0.20141052618433622</v>
      </c>
      <c r="L52" s="32">
        <f t="shared" si="21"/>
        <v>0.2192640574993046</v>
      </c>
      <c r="M52" s="32">
        <f t="shared" si="21"/>
        <v>0.1222927130143625</v>
      </c>
      <c r="N52" s="32">
        <f t="shared" si="21"/>
        <v>0.11819502987310196</v>
      </c>
      <c r="O52" s="34">
        <f t="shared" si="21"/>
        <v>0.1329304414293904</v>
      </c>
      <c r="P52" s="34">
        <f t="shared" si="21"/>
        <v>0.16586144763634766</v>
      </c>
    </row>
    <row r="53" spans="1:16" ht="11.25">
      <c r="A53" s="3" t="s">
        <v>46</v>
      </c>
      <c r="B53" s="3"/>
      <c r="C53" s="36">
        <f aca="true" t="shared" si="22" ref="C53:I53">(C11+C15)/C16</f>
        <v>0.3459157594743188</v>
      </c>
      <c r="D53" s="36">
        <f t="shared" si="22"/>
        <v>0.3943715668007281</v>
      </c>
      <c r="E53" s="36">
        <f t="shared" si="22"/>
        <v>0.3072755183453346</v>
      </c>
      <c r="F53" s="42">
        <f t="shared" si="22"/>
        <v>0.27205751740798634</v>
      </c>
      <c r="G53" s="43">
        <f t="shared" si="22"/>
        <v>0.26499605868741577</v>
      </c>
      <c r="H53" s="43">
        <f t="shared" si="22"/>
        <v>0.3341441274709392</v>
      </c>
      <c r="I53" s="43">
        <f t="shared" si="22"/>
        <v>0.3728404311197795</v>
      </c>
      <c r="J53" s="36">
        <f>+(J11+J15)/J16</f>
        <v>0.36312772299931206</v>
      </c>
      <c r="K53" s="38">
        <f aca="true" t="shared" si="23" ref="K53:P53">(K11+K15)/K16</f>
        <v>0.2811265411244744</v>
      </c>
      <c r="L53" s="36">
        <f t="shared" si="23"/>
        <v>0.26073021494049353</v>
      </c>
      <c r="M53" s="36">
        <f t="shared" si="23"/>
        <v>0.15434175081749954</v>
      </c>
      <c r="N53" s="36">
        <f t="shared" si="23"/>
        <v>0.1431910186019831</v>
      </c>
      <c r="O53" s="36">
        <f t="shared" si="23"/>
        <v>0.16079838607639427</v>
      </c>
      <c r="P53" s="36">
        <f t="shared" si="23"/>
        <v>0.1961078772431371</v>
      </c>
    </row>
    <row r="54" spans="1:14" ht="11.25">
      <c r="A54" s="11" t="s">
        <v>47</v>
      </c>
      <c r="D54" s="18"/>
      <c r="E54" s="18"/>
      <c r="F54" s="27"/>
      <c r="K54" s="29"/>
      <c r="L54" s="4"/>
      <c r="M54" s="4"/>
      <c r="N54" s="4"/>
    </row>
    <row r="55" spans="1:16" ht="11.25">
      <c r="A55" s="2" t="s">
        <v>48</v>
      </c>
      <c r="B55" s="4"/>
      <c r="C55" s="44">
        <f>C40/C28</f>
        <v>0.003162706063297446</v>
      </c>
      <c r="D55" s="32">
        <f>(D40/0.75)/D28</f>
        <v>0.014143433454465624</v>
      </c>
      <c r="E55" s="32">
        <f>(E40/0.5)/E28</f>
        <v>0.015428412116623654</v>
      </c>
      <c r="F55" s="33">
        <f>((F40)/0.25)/F28</f>
        <v>0.016231838673269005</v>
      </c>
      <c r="G55" s="44">
        <f>G40/G28</f>
        <v>0.01820446569093648</v>
      </c>
      <c r="H55" s="44">
        <f>(H40/0.75)/H28</f>
        <v>0.0217852146448448</v>
      </c>
      <c r="I55" s="34">
        <f>(I40/0.5)/I28</f>
        <v>0.009535945712504018</v>
      </c>
      <c r="J55" s="34">
        <f>((J40)/0.25)/J28</f>
        <v>0.008003596459550885</v>
      </c>
      <c r="K55" s="45">
        <f>K40/K28</f>
        <v>-0.09640266333558715</v>
      </c>
      <c r="L55" s="44">
        <f>(L40/0.75)/L28</f>
        <v>-0.14599251583310685</v>
      </c>
      <c r="M55" s="44">
        <f>(M40/0.5)/M28</f>
        <v>0.023589754167397187</v>
      </c>
      <c r="N55" s="32">
        <f>((N40)/0.25)/N28</f>
        <v>0.026731947155857166</v>
      </c>
      <c r="O55" s="34">
        <f>O40/O28</f>
        <v>0.010734809053636132</v>
      </c>
      <c r="P55" s="34">
        <f>P40/P28</f>
        <v>0.022315218444250703</v>
      </c>
    </row>
    <row r="56" spans="1:16" ht="11.25">
      <c r="A56" s="2" t="s">
        <v>49</v>
      </c>
      <c r="B56" s="4"/>
      <c r="C56" s="44">
        <f>C40/C27</f>
        <v>0.002284909425251379</v>
      </c>
      <c r="D56" s="32">
        <f>(D40/0.75)/D27</f>
        <v>0.009594658621914437</v>
      </c>
      <c r="E56" s="32">
        <f>(E40/0.5)/E27</f>
        <v>0.010978890389466672</v>
      </c>
      <c r="F56" s="33">
        <f>((F40)/0.25)/F27</f>
        <v>0.011851531934352929</v>
      </c>
      <c r="G56" s="44">
        <f>G40/G27</f>
        <v>0.013939842137571355</v>
      </c>
      <c r="H56" s="44">
        <f>(H40/0.75)/H27</f>
        <v>0.015724040011199963</v>
      </c>
      <c r="I56" s="34">
        <f>(I40/0.5)/I27</f>
        <v>0.007406627457469051</v>
      </c>
      <c r="J56" s="34">
        <f>((J40)/0.25)/J27</f>
        <v>0.006231843515310624</v>
      </c>
      <c r="K56" s="45">
        <f>K40/K27</f>
        <v>-0.07703085080080217</v>
      </c>
      <c r="L56" s="44">
        <f>(L40/0.75)/L27</f>
        <v>-0.11603482205545676</v>
      </c>
      <c r="M56" s="44">
        <f>(M40/0.5)/M27</f>
        <v>0.021791079376118412</v>
      </c>
      <c r="N56" s="32">
        <f>((N40)/0.25)/N27</f>
        <v>0.02496876492409515</v>
      </c>
      <c r="O56" s="34">
        <f>O40/O27</f>
        <v>0.008792905340957991</v>
      </c>
      <c r="P56" s="34">
        <f>P40/P27</f>
        <v>0.018841966644582403</v>
      </c>
    </row>
    <row r="57" spans="1:16" ht="11.25">
      <c r="A57" s="2" t="s">
        <v>50</v>
      </c>
      <c r="B57" s="4"/>
      <c r="C57" s="44">
        <f>+C40/C31</f>
        <v>0.018564730191528253</v>
      </c>
      <c r="D57" s="32">
        <f>(D40/0.75)/D31</f>
        <v>0.0765618673523581</v>
      </c>
      <c r="E57" s="32">
        <f>(E40/0.5)/E31</f>
        <v>0.09930198867377849</v>
      </c>
      <c r="F57" s="33">
        <f>((F40)/0.25)/F31</f>
        <v>0.08851152642064321</v>
      </c>
      <c r="G57" s="44">
        <f>+G40/G31</f>
        <v>0.10442591095071994</v>
      </c>
      <c r="H57" s="44">
        <f>(H40/0.75)/H31</f>
        <v>0.1245688036539251</v>
      </c>
      <c r="I57" s="34">
        <f>(I40/0.5)/I31</f>
        <v>0.06278850322613552</v>
      </c>
      <c r="J57" s="34">
        <f>((J40)/0.25)/J31</f>
        <v>0.0569749750800063</v>
      </c>
      <c r="K57" s="45">
        <f>+K40/K31</f>
        <v>-0.6842733188720174</v>
      </c>
      <c r="L57" s="44">
        <f>(L40/0.75)/L31</f>
        <v>-1.0391095517270676</v>
      </c>
      <c r="M57" s="44">
        <f>(M40/0.5)/M31</f>
        <v>0.1924176995120857</v>
      </c>
      <c r="N57" s="32">
        <f>((N40)/0.25)/N31</f>
        <v>0.2230329493550889</v>
      </c>
      <c r="O57" s="34">
        <f>O40/O31</f>
        <v>0.08920159620750698</v>
      </c>
      <c r="P57" s="34">
        <f>P40/P31</f>
        <v>0.1956780265706228</v>
      </c>
    </row>
    <row r="58" spans="1:16" ht="11.25">
      <c r="A58" s="2" t="s">
        <v>51</v>
      </c>
      <c r="B58" s="4"/>
      <c r="C58" s="44">
        <f>C33/C28</f>
        <v>0.08657366289019344</v>
      </c>
      <c r="D58" s="32">
        <f>(D33/0.75)/D28</f>
        <v>0.10088464456366633</v>
      </c>
      <c r="E58" s="32">
        <f>(E33/0.5)/E28</f>
        <v>0.09592625464553274</v>
      </c>
      <c r="F58" s="33">
        <f>((F33)/0.25)/F28</f>
        <v>0.08535198342021194</v>
      </c>
      <c r="G58" s="44">
        <f>G33/G28</f>
        <v>0.09981736620180613</v>
      </c>
      <c r="H58" s="44">
        <f>(H33/0.75)/H28</f>
        <v>0.11366677052214871</v>
      </c>
      <c r="I58" s="34">
        <f>(I33/0.5)/I28</f>
        <v>0.09965876652426012</v>
      </c>
      <c r="J58" s="34">
        <f>((J33)/0.25)/J28</f>
        <v>0.09869628341280429</v>
      </c>
      <c r="K58" s="45">
        <f>K33/K28</f>
        <v>0.11230551194337166</v>
      </c>
      <c r="L58" s="44">
        <f>(L33/0.75)/L28</f>
        <v>0.12474641398299104</v>
      </c>
      <c r="M58" s="44">
        <f>(M33/0.5)/M28</f>
        <v>0.1053529009347208</v>
      </c>
      <c r="N58" s="32">
        <f>((N33)/0.25)/N28</f>
        <v>0.10549547409266662</v>
      </c>
      <c r="O58" s="34">
        <f>O33/O28</f>
        <v>0.08815686614346659</v>
      </c>
      <c r="P58" s="34">
        <f>P33/P27</f>
        <v>0.07840404387407061</v>
      </c>
    </row>
    <row r="59" spans="1:16" ht="11.25">
      <c r="A59" s="2" t="s">
        <v>52</v>
      </c>
      <c r="B59" s="4"/>
      <c r="C59" s="44">
        <f>C34/C28</f>
        <v>0.05370643155774105</v>
      </c>
      <c r="D59" s="32">
        <f>(D34/0.75)/D28</f>
        <v>0.06044375022463386</v>
      </c>
      <c r="E59" s="32">
        <f>(E34/0.5)/E28</f>
        <v>0.05456214974665381</v>
      </c>
      <c r="F59" s="33">
        <f>((F34)/0.25)/F28</f>
        <v>0.04746029571348108</v>
      </c>
      <c r="G59" s="44">
        <f>G34/G28</f>
        <v>0.06091300066488802</v>
      </c>
      <c r="H59" s="44">
        <f>(H34/0.75)/H28</f>
        <v>0.07111045946887085</v>
      </c>
      <c r="I59" s="34">
        <f>(I34/0.5)/I28</f>
        <v>0.06344386302632649</v>
      </c>
      <c r="J59" s="34">
        <f>((J34)/0.25)/J28</f>
        <v>0.06420564673628666</v>
      </c>
      <c r="K59" s="45">
        <f>K34/K28</f>
        <v>0.07230581754699611</v>
      </c>
      <c r="L59" s="44">
        <f>(L34/0.75)/L28</f>
        <v>0.07854653518464293</v>
      </c>
      <c r="M59" s="44">
        <f>(M34/0.5)/M28</f>
        <v>0.06489073151614533</v>
      </c>
      <c r="N59" s="32">
        <f>((N34)/0.25)/N28</f>
        <v>0.06617568577222756</v>
      </c>
      <c r="O59" s="34">
        <f>O34/O28</f>
        <v>0.06070781857342223</v>
      </c>
      <c r="P59" s="34">
        <f>P34/P27</f>
        <v>0.04723742219386712</v>
      </c>
    </row>
    <row r="60" spans="1:16" ht="11.25">
      <c r="A60" s="2" t="s">
        <v>53</v>
      </c>
      <c r="B60" s="4"/>
      <c r="C60" s="44">
        <f>C35/C28</f>
        <v>0.032867231332452396</v>
      </c>
      <c r="D60" s="32">
        <f>(D35/0.75)/D28</f>
        <v>0.04044089433903248</v>
      </c>
      <c r="E60" s="32">
        <f>(E35/0.5)/E28</f>
        <v>0.041364104898878935</v>
      </c>
      <c r="F60" s="33">
        <f>((F35)/0.25)/F28</f>
        <v>0.03789168770673086</v>
      </c>
      <c r="G60" s="44">
        <f>G35/G28</f>
        <v>0.03890436553691812</v>
      </c>
      <c r="H60" s="44">
        <f>(H35/0.75)/H28</f>
        <v>0.04255631105327786</v>
      </c>
      <c r="I60" s="34">
        <f>(I35/0.5)/I28</f>
        <v>0.03621490349793362</v>
      </c>
      <c r="J60" s="34">
        <f>((J35)/0.25)/J28</f>
        <v>0.034490636676517625</v>
      </c>
      <c r="K60" s="45">
        <f>K35/K28</f>
        <v>0.03999969439637554</v>
      </c>
      <c r="L60" s="44">
        <f>(L35/0.75)/L28</f>
        <v>0.046199878798348123</v>
      </c>
      <c r="M60" s="44">
        <f>(M35/0.5)/M28</f>
        <v>0.04046216941857547</v>
      </c>
      <c r="N60" s="32">
        <f>((N35)/0.25)/N28</f>
        <v>0.03931978832043906</v>
      </c>
      <c r="O60" s="34">
        <f>O35/O28</f>
        <v>0.02744904757004436</v>
      </c>
      <c r="P60" s="34">
        <f>P35/P27</f>
        <v>0.031166621680203503</v>
      </c>
    </row>
    <row r="61" spans="1:16" ht="11.25">
      <c r="A61" s="2" t="s">
        <v>54</v>
      </c>
      <c r="B61" s="4"/>
      <c r="C61" s="44">
        <f>C38/C37</f>
        <v>0.7805444458779512</v>
      </c>
      <c r="D61" s="32">
        <f>(D38/0.75)/(D37/0.75)</f>
        <v>0.5883727724218523</v>
      </c>
      <c r="E61" s="32">
        <f>(E38/0.5)/(E37/0.5)</f>
        <v>0.5360489577357047</v>
      </c>
      <c r="F61" s="33">
        <f>(F38/0.25)/(F37/0.25)</f>
        <v>0.48390557939914164</v>
      </c>
      <c r="G61" s="44">
        <f>G38/G37</f>
        <v>0.4775325500158781</v>
      </c>
      <c r="H61" s="44">
        <f>(H38/0.75)/(H37/0.75)</f>
        <v>0.4667411394333299</v>
      </c>
      <c r="I61" s="34">
        <f>(I38/0.5)/(I37/0.5)</f>
        <v>0.5770822090304012</v>
      </c>
      <c r="J61" s="34">
        <f>(J38/0.25)/(J37/0.25)</f>
        <v>0.6033874382498235</v>
      </c>
      <c r="K61" s="45">
        <f>K38/K37</f>
        <v>1.1960572924688126</v>
      </c>
      <c r="L61" s="44">
        <f>(L38/0.75)/(L37/0.75)</f>
        <v>1.3464726291441789</v>
      </c>
      <c r="M61" s="44">
        <f>(M38/0.5)/(M37/0.5)</f>
        <v>0.39798888594866366</v>
      </c>
      <c r="N61" s="32">
        <f>(N38/0.25)/(N37/0.25)</f>
        <v>0.3593553261143289</v>
      </c>
      <c r="O61" s="34">
        <f>O38/O37</f>
        <v>0.5852543163789081</v>
      </c>
      <c r="P61" s="34">
        <f>P38/P37</f>
        <v>0.39456566488266775</v>
      </c>
    </row>
    <row r="62" spans="1:16" ht="11.25">
      <c r="A62" s="3" t="s">
        <v>55</v>
      </c>
      <c r="B62" s="3"/>
      <c r="C62" s="46">
        <f>C36/C28</f>
        <v>0.009109026709702575</v>
      </c>
      <c r="D62" s="36">
        <f>(D36/0.75)/D28</f>
        <v>0.012760174578149756</v>
      </c>
      <c r="E62" s="36">
        <f>(E36/0.5)/E28</f>
        <v>0.012134016425938763</v>
      </c>
      <c r="F62" s="37">
        <f>(F36/0.25)/F28</f>
        <v>0.010751635905766608</v>
      </c>
      <c r="G62" s="46">
        <f>G36/G28</f>
        <v>0.014101517459622782</v>
      </c>
      <c r="H62" s="46">
        <f>(H36/0.75)/H28</f>
        <v>0.017600449633145783</v>
      </c>
      <c r="I62" s="36">
        <f>(I36/0.5)/I28</f>
        <v>0.006847909025063812</v>
      </c>
      <c r="J62" s="36">
        <f>(J36/0.25)/J28</f>
        <v>0.007281356631709276</v>
      </c>
      <c r="K62" s="47">
        <f>K36/K28</f>
        <v>0.009607413943929374</v>
      </c>
      <c r="L62" s="46">
        <f>(L36/0.75)/L28</f>
        <v>0.012089267895676697</v>
      </c>
      <c r="M62" s="46">
        <f>(M36/0.5)/M28</f>
        <v>0.011502669403105651</v>
      </c>
      <c r="N62" s="36">
        <f>(N36/0.25)/N28</f>
        <v>0.01536983669548511</v>
      </c>
      <c r="O62" s="36">
        <f>O36/O28</f>
        <v>0.011240316375368072</v>
      </c>
      <c r="P62" s="36">
        <f>P36/P27</f>
        <v>0.008568694329251834</v>
      </c>
    </row>
    <row r="63" spans="1:14" ht="11.25">
      <c r="A63" s="11" t="s">
        <v>56</v>
      </c>
      <c r="E63" s="18"/>
      <c r="F63" s="27"/>
      <c r="K63" s="29"/>
      <c r="L63" s="4"/>
      <c r="M63" s="4"/>
      <c r="N63" s="4"/>
    </row>
    <row r="64" spans="1:16" ht="11.25">
      <c r="A64" s="2" t="s">
        <v>57</v>
      </c>
      <c r="C64" s="2">
        <v>6</v>
      </c>
      <c r="D64" s="17">
        <v>54</v>
      </c>
      <c r="E64" s="18">
        <v>55</v>
      </c>
      <c r="F64" s="27">
        <v>55</v>
      </c>
      <c r="G64" s="2">
        <f>49+6</f>
        <v>55</v>
      </c>
      <c r="H64" s="17">
        <f>52+5</f>
        <v>57</v>
      </c>
      <c r="I64" s="48">
        <v>59</v>
      </c>
      <c r="J64" s="2">
        <v>55</v>
      </c>
      <c r="K64" s="20">
        <f>6+49</f>
        <v>55</v>
      </c>
      <c r="L64" s="18">
        <f>6+52</f>
        <v>58</v>
      </c>
      <c r="M64" s="18">
        <f>6+49</f>
        <v>55</v>
      </c>
      <c r="N64" s="18">
        <f>51+5</f>
        <v>56</v>
      </c>
      <c r="O64" s="17">
        <v>56</v>
      </c>
      <c r="P64" s="17">
        <v>54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7">
        <v>1</v>
      </c>
      <c r="G65" s="2">
        <v>1</v>
      </c>
      <c r="H65" s="17">
        <v>1</v>
      </c>
      <c r="I65" s="17">
        <v>1</v>
      </c>
      <c r="J65" s="2">
        <v>1</v>
      </c>
      <c r="K65" s="20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24" ref="C66:P66">C12/C64</f>
        <v>22707.666666666668</v>
      </c>
      <c r="D66" s="18">
        <f t="shared" si="24"/>
        <v>2506.074074074074</v>
      </c>
      <c r="E66" s="18">
        <f t="shared" si="24"/>
        <v>2881.6</v>
      </c>
      <c r="F66" s="19">
        <f t="shared" si="24"/>
        <v>4012.890909090909</v>
      </c>
      <c r="G66" s="17">
        <f t="shared" si="24"/>
        <v>4160.236363636363</v>
      </c>
      <c r="H66" s="17">
        <f t="shared" si="24"/>
        <v>3631.59649122807</v>
      </c>
      <c r="I66" s="17">
        <f t="shared" si="24"/>
        <v>3713.101694915254</v>
      </c>
      <c r="J66" s="17">
        <f t="shared" si="24"/>
        <v>4159.963636363636</v>
      </c>
      <c r="K66" s="20">
        <f t="shared" si="24"/>
        <v>4290.745454545455</v>
      </c>
      <c r="L66" s="18">
        <f t="shared" si="24"/>
        <v>3925.206896551724</v>
      </c>
      <c r="M66" s="18">
        <f t="shared" si="24"/>
        <v>5206.236363636363</v>
      </c>
      <c r="N66" s="18">
        <f t="shared" si="24"/>
        <v>5466.053571428572</v>
      </c>
      <c r="O66" s="17">
        <f t="shared" si="24"/>
        <v>5002.017857142857</v>
      </c>
      <c r="P66" s="17">
        <f t="shared" si="24"/>
        <v>5041.2962962962965</v>
      </c>
    </row>
    <row r="67" spans="1:16" ht="11.25">
      <c r="A67" s="2" t="s">
        <v>60</v>
      </c>
      <c r="C67" s="18">
        <f aca="true" t="shared" si="25" ref="C67:P67">+C16/C64</f>
        <v>28889.5</v>
      </c>
      <c r="D67" s="18">
        <f t="shared" si="25"/>
        <v>3448.759259259259</v>
      </c>
      <c r="E67" s="18">
        <f t="shared" si="25"/>
        <v>3600.6181818181817</v>
      </c>
      <c r="F67" s="19">
        <f t="shared" si="25"/>
        <v>4094.2545454545457</v>
      </c>
      <c r="G67" s="17">
        <f t="shared" si="25"/>
        <v>4290.218181818182</v>
      </c>
      <c r="H67" s="17">
        <f t="shared" si="25"/>
        <v>3981.3684210526317</v>
      </c>
      <c r="I67" s="17">
        <f t="shared" si="25"/>
        <v>4162.593220338983</v>
      </c>
      <c r="J67" s="17">
        <f t="shared" si="25"/>
        <v>4757.454545454545</v>
      </c>
      <c r="K67" s="20">
        <f t="shared" si="25"/>
        <v>4574.581818181819</v>
      </c>
      <c r="L67" s="18">
        <f t="shared" si="25"/>
        <v>4615.551724137931</v>
      </c>
      <c r="M67" s="18">
        <f t="shared" si="25"/>
        <v>5048.654545454546</v>
      </c>
      <c r="N67" s="18">
        <f t="shared" si="25"/>
        <v>5447.767857142857</v>
      </c>
      <c r="O67" s="17">
        <f t="shared" si="25"/>
        <v>5080.785714285715</v>
      </c>
      <c r="P67" s="17">
        <f t="shared" si="25"/>
        <v>5376.481481481482</v>
      </c>
    </row>
    <row r="68" spans="1:16" ht="11.25">
      <c r="A68" s="3" t="s">
        <v>61</v>
      </c>
      <c r="B68" s="3"/>
      <c r="C68" s="24">
        <f aca="true" t="shared" si="26" ref="C68:P68">+C40/C64</f>
        <v>97.33333333333333</v>
      </c>
      <c r="D68" s="24">
        <f t="shared" si="26"/>
        <v>33.7037037037037</v>
      </c>
      <c r="E68" s="24">
        <f t="shared" si="26"/>
        <v>27.418181818181818</v>
      </c>
      <c r="F68" s="25">
        <f t="shared" si="26"/>
        <v>16.963636363636365</v>
      </c>
      <c r="G68" s="24">
        <f t="shared" si="26"/>
        <v>78.65454545454546</v>
      </c>
      <c r="H68" s="24">
        <f t="shared" si="26"/>
        <v>62.56140350877193</v>
      </c>
      <c r="I68" s="24">
        <f t="shared" si="26"/>
        <v>20.864406779661017</v>
      </c>
      <c r="J68" s="24">
        <f t="shared" si="26"/>
        <v>9.872727272727273</v>
      </c>
      <c r="K68" s="26">
        <f t="shared" si="26"/>
        <v>-458.8363636363636</v>
      </c>
      <c r="L68" s="24">
        <f t="shared" si="26"/>
        <v>-448.0689655172414</v>
      </c>
      <c r="M68" s="24">
        <f t="shared" si="26"/>
        <v>62.38181818181818</v>
      </c>
      <c r="N68" s="24">
        <f t="shared" si="26"/>
        <v>34.660714285714285</v>
      </c>
      <c r="O68" s="24">
        <f t="shared" si="26"/>
        <v>53.089285714285715</v>
      </c>
      <c r="P68" s="24">
        <f t="shared" si="26"/>
        <v>106.64814814814815</v>
      </c>
    </row>
    <row r="69" spans="1:14" ht="11.25">
      <c r="A69" s="11" t="s">
        <v>62</v>
      </c>
      <c r="E69" s="18"/>
      <c r="F69" s="27"/>
      <c r="K69" s="29"/>
      <c r="L69" s="4"/>
      <c r="M69" s="4"/>
      <c r="N69" s="4"/>
    </row>
    <row r="70" spans="1:16" ht="11.25">
      <c r="A70" s="2" t="s">
        <v>63</v>
      </c>
      <c r="C70" s="32">
        <f aca="true" t="shared" si="27" ref="C70:I70">(C10/G10)-1</f>
        <v>-0.29811460209547846</v>
      </c>
      <c r="D70" s="32">
        <f t="shared" si="27"/>
        <v>-0.26765184335348213</v>
      </c>
      <c r="E70" s="32">
        <f t="shared" si="27"/>
        <v>-0.3060430412530061</v>
      </c>
      <c r="F70" s="33">
        <f t="shared" si="27"/>
        <v>-0.1360427845471308</v>
      </c>
      <c r="G70" s="34">
        <f t="shared" si="27"/>
        <v>-0.06226858066973462</v>
      </c>
      <c r="H70" s="34">
        <f t="shared" si="27"/>
        <v>-0.0664196259859513</v>
      </c>
      <c r="I70" s="34">
        <f t="shared" si="27"/>
        <v>-0.04737568655094426</v>
      </c>
      <c r="J70" s="34">
        <f>+(J10/N10)-1</f>
        <v>-0.059320240766622345</v>
      </c>
      <c r="K70" s="35">
        <f>+(K10/O10)-1</f>
        <v>-0.04361145614370343</v>
      </c>
      <c r="L70" s="32">
        <f>+(L10/284477)-1</f>
        <v>0.09945267983000372</v>
      </c>
      <c r="M70" s="32">
        <f>+(M10/289329)-1</f>
        <v>0.17675725558101685</v>
      </c>
      <c r="N70" s="32">
        <f>+(N10/262711)-1</f>
        <v>0.3672286276554846</v>
      </c>
      <c r="O70" s="34">
        <f>+(O10/P10)-1</f>
        <v>-0.01875979666876637</v>
      </c>
      <c r="P70" s="34">
        <f>(P10/269980)-1</f>
        <v>0.26422327579820726</v>
      </c>
    </row>
    <row r="71" spans="1:16" ht="11.25">
      <c r="A71" s="2" t="s">
        <v>64</v>
      </c>
      <c r="C71" s="32">
        <f aca="true" t="shared" si="28" ref="C71:I71">(C12/G12)-1</f>
        <v>-0.40455306298156135</v>
      </c>
      <c r="D71" s="32">
        <f t="shared" si="28"/>
        <v>-0.34624470413186414</v>
      </c>
      <c r="E71" s="32">
        <f t="shared" si="28"/>
        <v>-0.2765516517325275</v>
      </c>
      <c r="F71" s="33">
        <f t="shared" si="28"/>
        <v>-0.035354330020367364</v>
      </c>
      <c r="G71" s="34">
        <f t="shared" si="28"/>
        <v>-0.030416414185286733</v>
      </c>
      <c r="H71" s="34">
        <f t="shared" si="28"/>
        <v>-0.09075295833296726</v>
      </c>
      <c r="I71" s="34">
        <f t="shared" si="28"/>
        <v>-0.23492804084611807</v>
      </c>
      <c r="J71" s="34">
        <f aca="true" t="shared" si="29" ref="J71:P71">SUM(J72:J73)</f>
        <v>-0.2525359442533298</v>
      </c>
      <c r="K71" s="35">
        <f t="shared" si="29"/>
        <v>-0.15751500287384024</v>
      </c>
      <c r="L71" s="32">
        <f t="shared" si="29"/>
        <v>-0.06887850046829691</v>
      </c>
      <c r="M71" s="32">
        <f t="shared" si="29"/>
        <v>-0.022379804573605777</v>
      </c>
      <c r="N71" s="32">
        <f t="shared" si="29"/>
        <v>0.12030611796741186</v>
      </c>
      <c r="O71" s="34">
        <f t="shared" si="29"/>
        <v>0.02895713183704962</v>
      </c>
      <c r="P71" s="34">
        <f t="shared" si="29"/>
        <v>0.12044483590296595</v>
      </c>
    </row>
    <row r="72" spans="2:16" ht="11.25">
      <c r="B72" s="2" t="s">
        <v>15</v>
      </c>
      <c r="C72" s="32">
        <v>0</v>
      </c>
      <c r="D72" s="32">
        <v>0</v>
      </c>
      <c r="E72" s="32">
        <v>0</v>
      </c>
      <c r="F72" s="33">
        <v>0</v>
      </c>
      <c r="G72" s="34">
        <v>0</v>
      </c>
      <c r="H72" s="34">
        <v>0</v>
      </c>
      <c r="I72" s="34">
        <v>0</v>
      </c>
      <c r="J72" s="34">
        <v>0</v>
      </c>
      <c r="K72" s="35">
        <v>0</v>
      </c>
      <c r="L72" s="32">
        <v>0</v>
      </c>
      <c r="M72" s="32">
        <v>0</v>
      </c>
      <c r="N72" s="32">
        <v>0</v>
      </c>
      <c r="O72" s="34">
        <v>0</v>
      </c>
      <c r="P72" s="34">
        <v>0</v>
      </c>
    </row>
    <row r="73" spans="2:16" ht="11.25">
      <c r="B73" s="2" t="s">
        <v>16</v>
      </c>
      <c r="C73" s="32">
        <f aca="true" t="shared" si="30" ref="C73:I73">(C14/G14)-1</f>
        <v>-0.40455306298156135</v>
      </c>
      <c r="D73" s="32">
        <f t="shared" si="30"/>
        <v>-0.34624470413186414</v>
      </c>
      <c r="E73" s="32">
        <f t="shared" si="30"/>
        <v>-0.2765516517325275</v>
      </c>
      <c r="F73" s="33">
        <f t="shared" si="30"/>
        <v>-0.035354330020367364</v>
      </c>
      <c r="G73" s="34">
        <f t="shared" si="30"/>
        <v>-0.030416414185286733</v>
      </c>
      <c r="H73" s="34">
        <f t="shared" si="30"/>
        <v>-0.09075295833296726</v>
      </c>
      <c r="I73" s="34">
        <f t="shared" si="30"/>
        <v>-0.23492804084611807</v>
      </c>
      <c r="J73" s="34">
        <f>+(J14/N14)-1</f>
        <v>-0.2525359442533298</v>
      </c>
      <c r="K73" s="35">
        <f>+(K14/O14)-1</f>
        <v>-0.15751500287384024</v>
      </c>
      <c r="L73" s="32">
        <f>+(L14/244503)-1</f>
        <v>-0.06887850046829691</v>
      </c>
      <c r="M73" s="32">
        <f>+(M14/292898)-1</f>
        <v>-0.022379804573605777</v>
      </c>
      <c r="N73" s="32">
        <f>+(N14/273228)-1</f>
        <v>0.12030611796741186</v>
      </c>
      <c r="O73" s="34">
        <f>+(O14/P14)-1</f>
        <v>0.02895713183704962</v>
      </c>
      <c r="P73" s="34">
        <f>+(P14/242966)-1</f>
        <v>0.12044483590296595</v>
      </c>
    </row>
    <row r="74" spans="1:39" ht="11.25">
      <c r="A74" s="2" t="s">
        <v>65</v>
      </c>
      <c r="C74" s="32">
        <f aca="true" t="shared" si="31" ref="C74:I74">(C16/G16)-1</f>
        <v>-0.26540290385740073</v>
      </c>
      <c r="D74" s="32">
        <f t="shared" si="31"/>
        <v>-0.17936617049590642</v>
      </c>
      <c r="E74" s="32">
        <f t="shared" si="31"/>
        <v>-0.1936496561384079</v>
      </c>
      <c r="F74" s="33">
        <f t="shared" si="31"/>
        <v>-0.13940227776503855</v>
      </c>
      <c r="G74" s="34">
        <f t="shared" si="31"/>
        <v>-0.06216166803125567</v>
      </c>
      <c r="H74" s="34">
        <f t="shared" si="31"/>
        <v>-0.15227379698321264</v>
      </c>
      <c r="I74" s="34">
        <f t="shared" si="31"/>
        <v>-0.11554113427159707</v>
      </c>
      <c r="J74" s="34">
        <f aca="true" t="shared" si="32" ref="J74:P74">SUM(J75:J76)</f>
        <v>-0.1423092682127346</v>
      </c>
      <c r="K74" s="35">
        <f t="shared" si="32"/>
        <v>-0.11570904387679071</v>
      </c>
      <c r="L74" s="32">
        <f t="shared" si="32"/>
        <v>-0.05896786031911194</v>
      </c>
      <c r="M74" s="32">
        <f t="shared" si="32"/>
        <v>-0.040275948833335073</v>
      </c>
      <c r="N74" s="32">
        <f t="shared" si="32"/>
        <v>0.16125704671673446</v>
      </c>
      <c r="O74" s="34">
        <f t="shared" si="32"/>
        <v>-0.01999793338614675</v>
      </c>
      <c r="P74" s="34">
        <f t="shared" si="32"/>
        <v>0.269551832854513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2:16" ht="11.25">
      <c r="B75" s="2" t="s">
        <v>15</v>
      </c>
      <c r="C75" s="32">
        <v>-2</v>
      </c>
      <c r="D75" s="32">
        <v>-1</v>
      </c>
      <c r="E75" s="32">
        <v>0</v>
      </c>
      <c r="F75" s="33">
        <v>0</v>
      </c>
      <c r="G75" s="34">
        <v>0</v>
      </c>
      <c r="H75" s="34">
        <v>0</v>
      </c>
      <c r="I75" s="34">
        <v>0</v>
      </c>
      <c r="J75" s="34">
        <v>0</v>
      </c>
      <c r="K75" s="35">
        <v>0</v>
      </c>
      <c r="L75" s="32">
        <v>0</v>
      </c>
      <c r="M75" s="32">
        <v>0</v>
      </c>
      <c r="N75" s="32">
        <v>0</v>
      </c>
      <c r="O75" s="34">
        <v>0</v>
      </c>
      <c r="P75" s="34">
        <v>0</v>
      </c>
    </row>
    <row r="76" spans="2:16" ht="11.25">
      <c r="B76" s="2" t="s">
        <v>16</v>
      </c>
      <c r="C76" s="32">
        <f aca="true" t="shared" si="33" ref="C76:I76">(C21/G21)-1</f>
        <v>-0.26540290385740073</v>
      </c>
      <c r="D76" s="32">
        <f t="shared" si="33"/>
        <v>-0.17936617049590642</v>
      </c>
      <c r="E76" s="32">
        <f t="shared" si="33"/>
        <v>-0.1936496561384079</v>
      </c>
      <c r="F76" s="33">
        <f t="shared" si="33"/>
        <v>-0.13940227776503855</v>
      </c>
      <c r="G76" s="34">
        <f t="shared" si="33"/>
        <v>-0.06216166803125567</v>
      </c>
      <c r="H76" s="34">
        <f t="shared" si="33"/>
        <v>-0.15227379698321264</v>
      </c>
      <c r="I76" s="34">
        <f t="shared" si="33"/>
        <v>-0.11554113427159707</v>
      </c>
      <c r="J76" s="34">
        <f>+(J21/N21)-1</f>
        <v>-0.1423092682127346</v>
      </c>
      <c r="K76" s="35">
        <f>+(K21/O21)-1</f>
        <v>-0.11570904387679071</v>
      </c>
      <c r="L76" s="32">
        <f>+(L21/284477)-1</f>
        <v>-0.05896786031911194</v>
      </c>
      <c r="M76" s="32">
        <f>+(M21/289329)-1</f>
        <v>-0.040275948833335073</v>
      </c>
      <c r="N76" s="32">
        <f>+(N21/262711)-1</f>
        <v>0.16125704671673446</v>
      </c>
      <c r="O76" s="34">
        <f>+(O21/P21)-1</f>
        <v>-0.01999793338614675</v>
      </c>
      <c r="P76" s="34">
        <f>+(P21/228687)-1</f>
        <v>0.269551832854513</v>
      </c>
    </row>
    <row r="77" spans="1:16" ht="11.25">
      <c r="A77" s="2" t="s">
        <v>66</v>
      </c>
      <c r="C77" s="32">
        <f aca="true" t="shared" si="34" ref="C77:I77">(C25/G25)-1</f>
        <v>-0.5566312601803207</v>
      </c>
      <c r="D77" s="32">
        <f t="shared" si="34"/>
        <v>-0.5199392948867616</v>
      </c>
      <c r="E77" s="32">
        <f t="shared" si="34"/>
        <v>-0.49996295838992466</v>
      </c>
      <c r="F77" s="33">
        <f t="shared" si="34"/>
        <v>0.11842138317381368</v>
      </c>
      <c r="G77" s="34">
        <f t="shared" si="34"/>
        <v>0.11015179299103495</v>
      </c>
      <c r="H77" s="34">
        <f t="shared" si="34"/>
        <v>0.27820222036528586</v>
      </c>
      <c r="I77" s="34">
        <f t="shared" si="34"/>
        <v>0.06770901995939571</v>
      </c>
      <c r="J77" s="34">
        <f>+(J25/N25)-1</f>
        <v>0.0924884046436314</v>
      </c>
      <c r="K77" s="35">
        <f>+(K25/O25)-1</f>
        <v>0.13821892393320967</v>
      </c>
      <c r="L77" s="32">
        <f>+(L25/33185)-1</f>
        <v>0.009733313243935449</v>
      </c>
      <c r="M77" s="32">
        <f>+(M25/33397)-1</f>
        <v>0.13564092583166154</v>
      </c>
      <c r="N77" s="32">
        <f>+(N25/33185)-1</f>
        <v>0.09799608256742509</v>
      </c>
      <c r="O77" s="34">
        <f>+(O25/P25)-1</f>
        <v>0.072570113798893</v>
      </c>
      <c r="P77" s="32">
        <f>(P25/26700)-1</f>
        <v>0.20456928838951316</v>
      </c>
    </row>
    <row r="78" spans="1:16" ht="11.25">
      <c r="A78" s="3" t="s">
        <v>67</v>
      </c>
      <c r="B78" s="3"/>
      <c r="C78" s="36">
        <f aca="true" t="shared" si="35" ref="C78:I78">(C40/G40)-1</f>
        <v>-0.8650023116042533</v>
      </c>
      <c r="D78" s="36">
        <f t="shared" si="35"/>
        <v>-0.4896242288278183</v>
      </c>
      <c r="E78" s="36">
        <f t="shared" si="35"/>
        <v>0.2250203086921203</v>
      </c>
      <c r="F78" s="37">
        <f t="shared" si="35"/>
        <v>0.718232044198895</v>
      </c>
      <c r="G78" s="36">
        <f t="shared" si="35"/>
        <v>-1.1714217784117926</v>
      </c>
      <c r="H78" s="36">
        <f t="shared" si="35"/>
        <v>-1.1372171771586885</v>
      </c>
      <c r="I78" s="36">
        <f t="shared" si="35"/>
        <v>-0.6412124744972312</v>
      </c>
      <c r="J78" s="36">
        <f>+(J40/N40)-1</f>
        <v>-0.7202472952086554</v>
      </c>
      <c r="K78" s="38">
        <f>+(K40/O40)-1</f>
        <v>-9.488395560040363</v>
      </c>
      <c r="L78" s="36">
        <f>+(L40/1662)-1</f>
        <v>-16.636582430806257</v>
      </c>
      <c r="M78" s="36">
        <f>+(M40/1090)-1</f>
        <v>2.1477064220183486</v>
      </c>
      <c r="N78" s="49">
        <f>+(N40/513)-1</f>
        <v>2.783625730994152</v>
      </c>
      <c r="O78" s="43">
        <f>+(O40/P40)-1</f>
        <v>-0.4837645424552873</v>
      </c>
      <c r="P78" s="36">
        <f>+(P40/5759)-1</f>
        <v>0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2017-06-16T16:11:16Z</dcterms:created>
  <dcterms:modified xsi:type="dcterms:W3CDTF">2017-06-16T16:21:23Z</dcterms:modified>
  <cp:category/>
  <cp:version/>
  <cp:contentType/>
  <cp:contentStatus/>
</cp:coreProperties>
</file>