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DO BRASIL" sheetId="1" r:id="rId1"/>
  </sheets>
  <definedNames/>
  <calcPr fullCalcOnLoad="1"/>
</workbook>
</file>

<file path=xl/sharedStrings.xml><?xml version="1.0" encoding="utf-8"?>
<sst xmlns="http://schemas.openxmlformats.org/spreadsheetml/2006/main" count="91" uniqueCount="70">
  <si>
    <t>CUADRO No. 19-31</t>
  </si>
  <si>
    <t>BANCO DO BRASIL, S.A. (1)</t>
  </si>
  <si>
    <t>ESTADISTICA FINANCIERA. TRIMESTRES  2000, 2001Y 2002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</si>
  <si>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</si>
  <si>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</si>
  <si>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</si>
  <si>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</si>
  <si>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</si>
  <si>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</si>
  <si>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</si>
  <si>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</si>
  <si>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</si>
  <si>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</si>
  <si>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</si>
  <si>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</si>
  <si>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</si>
  <si>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</si>
  <si>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</si>
  <si>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</si>
  <si>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</si>
  <si>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</si>
  <si>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</si>
  <si>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</si>
  <si>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</si>
  <si>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</si>
  <si>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</si>
  <si>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</si>
  <si>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</si>
  <si>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</si>
  <si>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</si>
  <si>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</si>
  <si>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</si>
  <si>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</si>
  <si>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</si>
  <si>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</si>
  <si>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</si>
  <si>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</si>
  <si>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</si>
  <si>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</si>
  <si>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</si>
  <si>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</si>
  <si>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</si>
  <si>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</si>
  <si>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</si>
  <si>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</si>
  <si>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</si>
  <si>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</si>
  <si>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</si>
  <si>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</si>
  <si>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</si>
  <si>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</si>
  <si>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</si>
  <si>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</si>
  <si>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</si>
  <si>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</si>
  <si>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</si>
  <si>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</si>
  <si>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</si>
  <si>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</si>
  <si>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</si>
  <si>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</si>
  <si>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</si>
  <si>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</si>
  <si>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</si>
  <si>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</si>
  <si>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</si>
  <si>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</si>
  <si>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</si>
  <si>
    <t>NOTA:</t>
  </si>
  <si>
    <t>(1) A partir de Agosto de 2002 pasa a ser un Banco con Licencia Internacional.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</si>
</sst>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9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201" fontId="3" fillId="0" borderId="16" xfId="46" applyNumberFormat="1" applyFont="1" applyBorder="1" applyAlignment="1">
      <alignment/>
    </xf>
    <xf numFmtId="201" fontId="3" fillId="0" borderId="0" xfId="46" applyNumberFormat="1" applyFont="1" applyBorder="1" applyAlignment="1">
      <alignment/>
    </xf>
    <xf numFmtId="201" fontId="3" fillId="0" borderId="0" xfId="46" applyNumberFormat="1" applyFont="1" applyAlignment="1">
      <alignment/>
    </xf>
    <xf numFmtId="0" fontId="4" fillId="0" borderId="0" xfId="0" applyFont="1" applyAlignment="1">
      <alignment/>
    </xf>
    <xf numFmtId="201" fontId="4" fillId="0" borderId="0" xfId="46" applyNumberFormat="1" applyFont="1" applyAlignment="1">
      <alignment/>
    </xf>
    <xf numFmtId="201" fontId="4" fillId="0" borderId="0" xfId="46" applyNumberFormat="1" applyFont="1" applyBorder="1" applyAlignment="1">
      <alignment/>
    </xf>
    <xf numFmtId="201" fontId="4" fillId="0" borderId="15" xfId="46" applyNumberFormat="1" applyFont="1" applyBorder="1" applyAlignment="1">
      <alignment/>
    </xf>
    <xf numFmtId="201" fontId="4" fillId="0" borderId="16" xfId="46" applyNumberFormat="1" applyFont="1" applyBorder="1" applyAlignment="1">
      <alignment/>
    </xf>
    <xf numFmtId="201" fontId="4" fillId="0" borderId="10" xfId="46" applyNumberFormat="1" applyFont="1" applyBorder="1" applyAlignment="1">
      <alignment/>
    </xf>
    <xf numFmtId="201" fontId="4" fillId="0" borderId="13" xfId="46" applyNumberFormat="1" applyFont="1" applyBorder="1" applyAlignment="1">
      <alignment/>
    </xf>
    <xf numFmtId="201" fontId="4" fillId="0" borderId="14" xfId="46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201" fontId="4" fillId="0" borderId="15" xfId="0" applyNumberFormat="1" applyFont="1" applyBorder="1" applyAlignment="1">
      <alignment/>
    </xf>
    <xf numFmtId="201" fontId="4" fillId="0" borderId="0" xfId="0" applyNumberFormat="1" applyFont="1" applyAlignment="1">
      <alignment/>
    </xf>
    <xf numFmtId="3" fontId="4" fillId="0" borderId="0" xfId="46" applyNumberFormat="1" applyFont="1" applyAlignment="1">
      <alignment/>
    </xf>
    <xf numFmtId="201" fontId="4" fillId="0" borderId="13" xfId="0" applyNumberFormat="1" applyFont="1" applyBorder="1" applyAlignment="1">
      <alignment/>
    </xf>
    <xf numFmtId="201" fontId="4" fillId="0" borderId="10" xfId="0" applyNumberFormat="1" applyFont="1" applyBorder="1" applyAlignment="1">
      <alignment/>
    </xf>
    <xf numFmtId="3" fontId="4" fillId="0" borderId="10" xfId="46" applyNumberFormat="1" applyFont="1" applyBorder="1" applyAlignment="1">
      <alignment/>
    </xf>
    <xf numFmtId="201" fontId="4" fillId="0" borderId="11" xfId="46" applyNumberFormat="1" applyFont="1" applyBorder="1" applyAlignment="1">
      <alignment/>
    </xf>
    <xf numFmtId="10" fontId="4" fillId="0" borderId="0" xfId="52" applyNumberFormat="1" applyFont="1" applyBorder="1" applyAlignment="1">
      <alignment/>
    </xf>
    <xf numFmtId="10" fontId="4" fillId="0" borderId="15" xfId="52" applyNumberFormat="1" applyFont="1" applyBorder="1" applyAlignment="1">
      <alignment/>
    </xf>
    <xf numFmtId="10" fontId="4" fillId="0" borderId="0" xfId="52" applyNumberFormat="1" applyFont="1" applyAlignment="1">
      <alignment/>
    </xf>
    <xf numFmtId="10" fontId="4" fillId="0" borderId="16" xfId="52" applyNumberFormat="1" applyFont="1" applyBorder="1" applyAlignment="1">
      <alignment/>
    </xf>
    <xf numFmtId="10" fontId="4" fillId="0" borderId="10" xfId="52" applyNumberFormat="1" applyFont="1" applyBorder="1" applyAlignment="1">
      <alignment/>
    </xf>
    <xf numFmtId="10" fontId="4" fillId="0" borderId="13" xfId="52" applyNumberFormat="1" applyFont="1" applyBorder="1" applyAlignment="1">
      <alignment/>
    </xf>
    <xf numFmtId="10" fontId="4" fillId="0" borderId="14" xfId="52" applyNumberFormat="1" applyFont="1" applyBorder="1" applyAlignment="1">
      <alignment/>
    </xf>
    <xf numFmtId="204" fontId="4" fillId="0" borderId="0" xfId="52" applyNumberFormat="1" applyFont="1" applyAlignment="1">
      <alignment/>
    </xf>
    <xf numFmtId="204" fontId="4" fillId="0" borderId="16" xfId="52" applyNumberFormat="1" applyFont="1" applyBorder="1" applyAlignment="1">
      <alignment/>
    </xf>
    <xf numFmtId="204" fontId="4" fillId="0" borderId="0" xfId="52" applyNumberFormat="1" applyFont="1" applyBorder="1" applyAlignment="1">
      <alignment/>
    </xf>
    <xf numFmtId="204" fontId="4" fillId="0" borderId="15" xfId="52" applyNumberFormat="1" applyFont="1" applyBorder="1" applyAlignment="1">
      <alignment/>
    </xf>
    <xf numFmtId="204" fontId="4" fillId="0" borderId="10" xfId="52" applyNumberFormat="1" applyFont="1" applyBorder="1" applyAlignment="1">
      <alignment/>
    </xf>
    <xf numFmtId="204" fontId="4" fillId="0" borderId="13" xfId="52" applyNumberFormat="1" applyFont="1" applyBorder="1" applyAlignment="1">
      <alignment/>
    </xf>
    <xf numFmtId="204" fontId="4" fillId="0" borderId="14" xfId="52" applyNumberFormat="1" applyFont="1" applyBorder="1" applyAlignment="1">
      <alignment/>
    </xf>
    <xf numFmtId="10" fontId="4" fillId="0" borderId="0" xfId="52" applyNumberFormat="1" applyFont="1" applyFill="1" applyBorder="1" applyAlignment="1">
      <alignment/>
    </xf>
    <xf numFmtId="10" fontId="4" fillId="0" borderId="16" xfId="52" applyNumberFormat="1" applyFont="1" applyFill="1" applyBorder="1" applyAlignment="1">
      <alignment/>
    </xf>
    <xf numFmtId="10" fontId="4" fillId="0" borderId="10" xfId="52" applyNumberFormat="1" applyFont="1" applyFill="1" applyBorder="1" applyAlignment="1">
      <alignment/>
    </xf>
    <xf numFmtId="10" fontId="4" fillId="0" borderId="14" xfId="52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tabSelected="1" zoomScalePageLayoutView="0" workbookViewId="0" topLeftCell="A1">
      <selection activeCell="D13" sqref="D13"/>
    </sheetView>
  </sheetViews>
  <sheetFormatPr defaultColWidth="11.421875" defaultRowHeight="12.75"/>
  <cols>
    <col min="1" max="1" width="3.140625" style="1" customWidth="1"/>
    <col min="2" max="2" width="28.28125" style="1" customWidth="1"/>
    <col min="3" max="3" width="8.140625" style="1" customWidth="1"/>
    <col min="4" max="4" width="7.7109375" style="1" customWidth="1"/>
    <col min="5" max="5" width="7.57421875" style="1" customWidth="1"/>
    <col min="6" max="6" width="7.421875" style="1" customWidth="1"/>
    <col min="7" max="7" width="7.8515625" style="1" customWidth="1"/>
    <col min="8" max="8" width="8.57421875" style="1" customWidth="1"/>
    <col min="9" max="9" width="7.421875" style="1" customWidth="1"/>
    <col min="10" max="10" width="7.8515625" style="1" customWidth="1"/>
    <col min="11" max="11" width="7.57421875" style="1" customWidth="1"/>
    <col min="12" max="12" width="7.7109375" style="1" customWidth="1"/>
    <col min="13" max="13" width="8.28125" style="1" customWidth="1"/>
    <col min="14" max="14" width="7.57421875" style="1" customWidth="1"/>
    <col min="15" max="16" width="6.421875" style="1" hidden="1" customWidth="1"/>
    <col min="17" max="16384" width="11.421875" style="1" customWidth="1"/>
  </cols>
  <sheetData>
    <row r="1" spans="2:16" ht="11.25">
      <c r="B1" s="55"/>
      <c r="C1" s="55"/>
      <c r="D1" s="55"/>
      <c r="E1" s="55"/>
      <c r="F1" s="55"/>
      <c r="G1" s="55" t="s">
        <v>0</v>
      </c>
      <c r="H1" s="55"/>
      <c r="I1" s="55"/>
      <c r="J1" s="55"/>
      <c r="K1" s="55"/>
      <c r="L1" s="55"/>
      <c r="M1" s="55"/>
      <c r="N1" s="55"/>
      <c r="O1" s="55"/>
      <c r="P1" s="55"/>
    </row>
    <row r="2" spans="2:16" ht="11.25">
      <c r="B2" s="55"/>
      <c r="C2" s="55"/>
      <c r="D2" s="55"/>
      <c r="E2" s="55"/>
      <c r="F2" s="55"/>
      <c r="G2" s="55" t="s">
        <v>1</v>
      </c>
      <c r="H2" s="55"/>
      <c r="I2" s="55"/>
      <c r="J2" s="55"/>
      <c r="K2" s="55"/>
      <c r="L2" s="55"/>
      <c r="M2" s="55"/>
      <c r="N2" s="55"/>
      <c r="O2" s="55"/>
      <c r="P2" s="55"/>
    </row>
    <row r="3" spans="2:16" ht="11.25">
      <c r="B3" s="55"/>
      <c r="C3" s="55"/>
      <c r="D3" s="55"/>
      <c r="E3" s="55"/>
      <c r="F3" s="55"/>
      <c r="G3" s="55" t="s">
        <v>2</v>
      </c>
      <c r="H3" s="55"/>
      <c r="I3" s="55"/>
      <c r="J3" s="55"/>
      <c r="K3" s="55"/>
      <c r="L3" s="55"/>
      <c r="M3" s="55"/>
      <c r="N3" s="55"/>
      <c r="O3" s="55"/>
      <c r="P3" s="55"/>
    </row>
    <row r="4" spans="2:16" ht="11.25">
      <c r="B4" s="54"/>
      <c r="C4" s="54"/>
      <c r="D4" s="54"/>
      <c r="E4" s="54"/>
      <c r="F4" s="54"/>
      <c r="G4" s="54" t="s">
        <v>3</v>
      </c>
      <c r="H4" s="54"/>
      <c r="I4" s="54"/>
      <c r="J4" s="54"/>
      <c r="K4" s="54"/>
      <c r="L4" s="54"/>
      <c r="M4" s="54"/>
      <c r="N4" s="54"/>
      <c r="O4" s="54"/>
      <c r="P4" s="54"/>
    </row>
    <row r="5" spans="1:16" ht="11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ht="11.25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4"/>
      <c r="P6" s="4"/>
    </row>
    <row r="7" spans="1:16" ht="11.25">
      <c r="A7" s="6"/>
      <c r="B7" s="6"/>
      <c r="C7" s="56">
        <v>2002</v>
      </c>
      <c r="D7" s="56"/>
      <c r="E7" s="56"/>
      <c r="F7" s="57"/>
      <c r="G7" s="56">
        <v>2001</v>
      </c>
      <c r="H7" s="56"/>
      <c r="I7" s="56"/>
      <c r="J7" s="56"/>
      <c r="K7" s="58">
        <v>2000</v>
      </c>
      <c r="L7" s="56"/>
      <c r="M7" s="56"/>
      <c r="N7" s="56"/>
      <c r="O7" s="56" t="s">
        <v>4</v>
      </c>
      <c r="P7" s="56"/>
    </row>
    <row r="8" spans="1:16" ht="11.25">
      <c r="A8" s="7"/>
      <c r="B8" s="7"/>
      <c r="C8" s="8" t="s">
        <v>5</v>
      </c>
      <c r="D8" s="7" t="s">
        <v>6</v>
      </c>
      <c r="E8" s="9" t="s">
        <v>7</v>
      </c>
      <c r="F8" s="10" t="s">
        <v>8</v>
      </c>
      <c r="G8" s="8" t="s">
        <v>5</v>
      </c>
      <c r="H8" s="7" t="s">
        <v>6</v>
      </c>
      <c r="I8" s="7" t="s">
        <v>7</v>
      </c>
      <c r="J8" s="7" t="s">
        <v>8</v>
      </c>
      <c r="K8" s="11" t="s">
        <v>5</v>
      </c>
      <c r="L8" s="7" t="s">
        <v>6</v>
      </c>
      <c r="M8" s="7" t="s">
        <v>7</v>
      </c>
      <c r="N8" s="8" t="s">
        <v>8</v>
      </c>
      <c r="O8" s="12" t="s">
        <v>9</v>
      </c>
      <c r="P8" s="12" t="s">
        <v>10</v>
      </c>
    </row>
    <row r="9" spans="1:16" ht="11.25">
      <c r="A9" s="13" t="s">
        <v>11</v>
      </c>
      <c r="B9" s="13"/>
      <c r="C9" s="13"/>
      <c r="D9" s="13"/>
      <c r="E9" s="14"/>
      <c r="F9" s="15"/>
      <c r="G9" s="13"/>
      <c r="H9" s="13"/>
      <c r="I9" s="13"/>
      <c r="J9" s="13"/>
      <c r="K9" s="16"/>
      <c r="L9" s="17"/>
      <c r="M9" s="17"/>
      <c r="N9" s="17"/>
      <c r="O9" s="18"/>
      <c r="P9" s="18"/>
    </row>
    <row r="10" spans="1:16" ht="11.25">
      <c r="A10" s="19" t="s">
        <v>12</v>
      </c>
      <c r="B10" s="19"/>
      <c r="C10" s="20">
        <v>301724</v>
      </c>
      <c r="D10" s="20">
        <v>298639</v>
      </c>
      <c r="E10" s="21">
        <v>276748</v>
      </c>
      <c r="F10" s="22">
        <v>239449</v>
      </c>
      <c r="G10" s="20">
        <v>279801</v>
      </c>
      <c r="H10" s="20">
        <v>346507</v>
      </c>
      <c r="I10" s="20">
        <v>326710</v>
      </c>
      <c r="J10" s="20">
        <v>330583</v>
      </c>
      <c r="K10" s="23">
        <v>277435</v>
      </c>
      <c r="L10" s="21">
        <v>367900</v>
      </c>
      <c r="M10" s="21">
        <v>281031</v>
      </c>
      <c r="N10" s="21">
        <v>293385</v>
      </c>
      <c r="O10" s="20">
        <v>253287</v>
      </c>
      <c r="P10" s="20">
        <v>212634</v>
      </c>
    </row>
    <row r="11" spans="1:16" ht="11.25">
      <c r="A11" s="19" t="s">
        <v>13</v>
      </c>
      <c r="B11" s="19"/>
      <c r="C11" s="20">
        <v>276155</v>
      </c>
      <c r="D11" s="20">
        <v>283397</v>
      </c>
      <c r="E11" s="21">
        <v>263829</v>
      </c>
      <c r="F11" s="22">
        <v>215810</v>
      </c>
      <c r="G11" s="20">
        <v>245364</v>
      </c>
      <c r="H11" s="20">
        <v>295592</v>
      </c>
      <c r="I11" s="20">
        <v>258286</v>
      </c>
      <c r="J11" s="20">
        <v>260868</v>
      </c>
      <c r="K11" s="23">
        <v>213025</v>
      </c>
      <c r="L11" s="21">
        <v>308390</v>
      </c>
      <c r="M11" s="21">
        <v>215969</v>
      </c>
      <c r="N11" s="21">
        <v>221733</v>
      </c>
      <c r="O11" s="20">
        <v>190262</v>
      </c>
      <c r="P11" s="20">
        <v>121806</v>
      </c>
    </row>
    <row r="12" spans="1:16" ht="11.25">
      <c r="A12" s="19" t="s">
        <v>14</v>
      </c>
      <c r="B12" s="19"/>
      <c r="C12" s="21">
        <f>C13+C14</f>
        <v>20177</v>
      </c>
      <c r="D12" s="21">
        <f>D13+D14</f>
        <v>10598</v>
      </c>
      <c r="E12" s="21">
        <f>E13+E14</f>
        <v>7568</v>
      </c>
      <c r="F12" s="22">
        <v>19181</v>
      </c>
      <c r="G12" s="20">
        <f aca="true" t="shared" si="0" ref="G12:P12">G13+G14</f>
        <v>24586</v>
      </c>
      <c r="H12" s="20">
        <f t="shared" si="0"/>
        <v>43349</v>
      </c>
      <c r="I12" s="20">
        <f t="shared" si="0"/>
        <v>62904</v>
      </c>
      <c r="J12" s="20">
        <f t="shared" si="0"/>
        <v>62587</v>
      </c>
      <c r="K12" s="23">
        <f t="shared" si="0"/>
        <v>58554</v>
      </c>
      <c r="L12" s="21">
        <f t="shared" si="0"/>
        <v>49968</v>
      </c>
      <c r="M12" s="21">
        <f t="shared" si="0"/>
        <v>59974</v>
      </c>
      <c r="N12" s="21">
        <f t="shared" si="0"/>
        <v>62501</v>
      </c>
      <c r="O12" s="20">
        <f t="shared" si="0"/>
        <v>57449</v>
      </c>
      <c r="P12" s="20">
        <f t="shared" si="0"/>
        <v>85734</v>
      </c>
    </row>
    <row r="13" spans="1:16" ht="11.25">
      <c r="A13" s="19"/>
      <c r="B13" s="19" t="s">
        <v>15</v>
      </c>
      <c r="C13" s="20">
        <v>0</v>
      </c>
      <c r="D13" s="20">
        <v>0</v>
      </c>
      <c r="E13" s="21">
        <v>19</v>
      </c>
      <c r="F13" s="22">
        <v>229</v>
      </c>
      <c r="G13" s="20">
        <v>366</v>
      </c>
      <c r="H13" s="20">
        <v>4203</v>
      </c>
      <c r="I13" s="20">
        <v>5417</v>
      </c>
      <c r="J13" s="20">
        <v>5064</v>
      </c>
      <c r="K13" s="23">
        <v>6657</v>
      </c>
      <c r="L13" s="21">
        <v>10105</v>
      </c>
      <c r="M13" s="21">
        <v>8394</v>
      </c>
      <c r="N13" s="21">
        <v>10205</v>
      </c>
      <c r="O13" s="20">
        <v>8321</v>
      </c>
      <c r="P13" s="20">
        <v>12971</v>
      </c>
    </row>
    <row r="14" spans="1:16" ht="11.25">
      <c r="A14" s="19"/>
      <c r="B14" s="19" t="s">
        <v>16</v>
      </c>
      <c r="C14" s="20">
        <v>20177</v>
      </c>
      <c r="D14" s="20">
        <v>10598</v>
      </c>
      <c r="E14" s="21">
        <v>7549</v>
      </c>
      <c r="F14" s="22">
        <v>18952</v>
      </c>
      <c r="G14" s="20">
        <v>24220</v>
      </c>
      <c r="H14" s="20">
        <v>39146</v>
      </c>
      <c r="I14" s="20">
        <v>57487</v>
      </c>
      <c r="J14" s="20">
        <v>57523</v>
      </c>
      <c r="K14" s="23">
        <v>51897</v>
      </c>
      <c r="L14" s="21">
        <v>39863</v>
      </c>
      <c r="M14" s="21">
        <v>51580</v>
      </c>
      <c r="N14" s="21">
        <v>52296</v>
      </c>
      <c r="O14" s="20">
        <v>49128</v>
      </c>
      <c r="P14" s="20">
        <v>72763</v>
      </c>
    </row>
    <row r="15" spans="1:16" ht="11.25">
      <c r="A15" s="19" t="s">
        <v>17</v>
      </c>
      <c r="B15" s="19"/>
      <c r="C15" s="20">
        <v>541</v>
      </c>
      <c r="D15" s="20">
        <v>541</v>
      </c>
      <c r="E15" s="21">
        <v>541</v>
      </c>
      <c r="F15" s="22">
        <v>541</v>
      </c>
      <c r="G15" s="20">
        <v>541</v>
      </c>
      <c r="H15" s="20">
        <v>541</v>
      </c>
      <c r="I15" s="20">
        <v>538</v>
      </c>
      <c r="J15" s="20">
        <v>443</v>
      </c>
      <c r="K15" s="23">
        <v>440</v>
      </c>
      <c r="L15" s="21">
        <v>474</v>
      </c>
      <c r="M15" s="21">
        <v>470</v>
      </c>
      <c r="N15" s="21">
        <v>451</v>
      </c>
      <c r="O15" s="20">
        <v>14</v>
      </c>
      <c r="P15" s="20">
        <v>32</v>
      </c>
    </row>
    <row r="16" spans="1:16" ht="11.25">
      <c r="A16" s="19" t="s">
        <v>18</v>
      </c>
      <c r="B16" s="19"/>
      <c r="C16" s="21">
        <f>C17+C21</f>
        <v>172858</v>
      </c>
      <c r="D16" s="21">
        <f>D17+D21</f>
        <v>165855</v>
      </c>
      <c r="E16" s="21">
        <f>E17+E21</f>
        <v>138049</v>
      </c>
      <c r="F16" s="22">
        <v>115531</v>
      </c>
      <c r="G16" s="20">
        <f aca="true" t="shared" si="1" ref="G16:P16">G17+G21</f>
        <v>98694</v>
      </c>
      <c r="H16" s="20">
        <f t="shared" si="1"/>
        <v>161614</v>
      </c>
      <c r="I16" s="20">
        <f t="shared" si="1"/>
        <v>156069</v>
      </c>
      <c r="J16" s="20">
        <f t="shared" si="1"/>
        <v>146644</v>
      </c>
      <c r="K16" s="23">
        <f t="shared" si="1"/>
        <v>164207</v>
      </c>
      <c r="L16" s="21">
        <f t="shared" si="1"/>
        <v>180714</v>
      </c>
      <c r="M16" s="21">
        <f t="shared" si="1"/>
        <v>95535</v>
      </c>
      <c r="N16" s="21">
        <f t="shared" si="1"/>
        <v>105804</v>
      </c>
      <c r="O16" s="20">
        <f t="shared" si="1"/>
        <v>63300</v>
      </c>
      <c r="P16" s="20">
        <f t="shared" si="1"/>
        <v>52865</v>
      </c>
    </row>
    <row r="17" spans="1:16" ht="11.25">
      <c r="A17" s="19"/>
      <c r="B17" s="19" t="s">
        <v>15</v>
      </c>
      <c r="C17" s="21">
        <f>SUM(C18:C20)</f>
        <v>2666</v>
      </c>
      <c r="D17" s="21">
        <f>SUM(D18:D20)</f>
        <v>2148</v>
      </c>
      <c r="E17" s="21">
        <f>SUM(E18:E20)</f>
        <v>69</v>
      </c>
      <c r="F17" s="22">
        <v>1797</v>
      </c>
      <c r="G17" s="20">
        <f aca="true" t="shared" si="2" ref="G17:P17">SUM(G18:G20)</f>
        <v>2835</v>
      </c>
      <c r="H17" s="20">
        <f t="shared" si="2"/>
        <v>2589</v>
      </c>
      <c r="I17" s="20">
        <f t="shared" si="2"/>
        <v>2634</v>
      </c>
      <c r="J17" s="20">
        <f t="shared" si="2"/>
        <v>2785</v>
      </c>
      <c r="K17" s="23">
        <f t="shared" si="2"/>
        <v>3424</v>
      </c>
      <c r="L17" s="21">
        <f t="shared" si="2"/>
        <v>3363</v>
      </c>
      <c r="M17" s="21">
        <f t="shared" si="2"/>
        <v>3656</v>
      </c>
      <c r="N17" s="21">
        <f t="shared" si="2"/>
        <v>3967</v>
      </c>
      <c r="O17" s="20">
        <f t="shared" si="2"/>
        <v>4779</v>
      </c>
      <c r="P17" s="20">
        <f t="shared" si="2"/>
        <v>5801</v>
      </c>
    </row>
    <row r="18" spans="1:16" ht="11.25">
      <c r="A18" s="19"/>
      <c r="B18" s="19" t="s">
        <v>19</v>
      </c>
      <c r="C18" s="20">
        <v>0</v>
      </c>
      <c r="D18" s="20"/>
      <c r="E18" s="21">
        <v>0</v>
      </c>
      <c r="F18" s="22">
        <v>0</v>
      </c>
      <c r="G18" s="20">
        <v>0</v>
      </c>
      <c r="H18" s="20">
        <v>0</v>
      </c>
      <c r="I18" s="20">
        <v>0</v>
      </c>
      <c r="J18" s="20">
        <v>0</v>
      </c>
      <c r="K18" s="23">
        <v>0</v>
      </c>
      <c r="L18" s="21">
        <v>0</v>
      </c>
      <c r="M18" s="21">
        <v>0</v>
      </c>
      <c r="N18" s="21">
        <v>0</v>
      </c>
      <c r="O18" s="20">
        <v>0</v>
      </c>
      <c r="P18" s="20">
        <v>0</v>
      </c>
    </row>
    <row r="19" spans="1:16" ht="11.25">
      <c r="A19" s="19"/>
      <c r="B19" s="19" t="s">
        <v>20</v>
      </c>
      <c r="C19" s="20">
        <v>5</v>
      </c>
      <c r="D19" s="20">
        <v>58</v>
      </c>
      <c r="E19" s="21">
        <v>46</v>
      </c>
      <c r="F19" s="22">
        <v>1760</v>
      </c>
      <c r="G19" s="20">
        <f>1943+811</f>
        <v>2754</v>
      </c>
      <c r="H19" s="20">
        <v>2541</v>
      </c>
      <c r="I19" s="20">
        <v>2545</v>
      </c>
      <c r="J19" s="20">
        <v>2626</v>
      </c>
      <c r="K19" s="23">
        <v>3297</v>
      </c>
      <c r="L19" s="21">
        <v>3363</v>
      </c>
      <c r="M19" s="21">
        <v>3520</v>
      </c>
      <c r="N19" s="21">
        <v>3868</v>
      </c>
      <c r="O19" s="20">
        <v>4637</v>
      </c>
      <c r="P19" s="20">
        <v>5758</v>
      </c>
    </row>
    <row r="20" spans="1:16" ht="11.25">
      <c r="A20" s="19"/>
      <c r="B20" s="19" t="s">
        <v>21</v>
      </c>
      <c r="C20" s="20">
        <v>2661</v>
      </c>
      <c r="D20" s="20">
        <v>2090</v>
      </c>
      <c r="E20" s="21">
        <v>23</v>
      </c>
      <c r="F20" s="22">
        <v>37</v>
      </c>
      <c r="G20" s="20">
        <v>81</v>
      </c>
      <c r="H20" s="20">
        <v>48</v>
      </c>
      <c r="I20" s="20">
        <v>89</v>
      </c>
      <c r="J20" s="20">
        <v>159</v>
      </c>
      <c r="K20" s="23">
        <v>127</v>
      </c>
      <c r="L20" s="21">
        <v>0</v>
      </c>
      <c r="M20" s="21">
        <v>136</v>
      </c>
      <c r="N20" s="21">
        <v>99</v>
      </c>
      <c r="O20" s="20">
        <v>142</v>
      </c>
      <c r="P20" s="20">
        <v>43</v>
      </c>
    </row>
    <row r="21" spans="1:16" ht="11.25">
      <c r="A21" s="19"/>
      <c r="B21" s="19" t="s">
        <v>16</v>
      </c>
      <c r="C21" s="21">
        <f>SUM(C22:C24)</f>
        <v>170192</v>
      </c>
      <c r="D21" s="21">
        <f>SUM(D22:D24)</f>
        <v>163707</v>
      </c>
      <c r="E21" s="21">
        <f>SUM(E22:E24)</f>
        <v>137980</v>
      </c>
      <c r="F21" s="22">
        <f>SUM(F22:F24)</f>
        <v>113734</v>
      </c>
      <c r="G21" s="20">
        <f aca="true" t="shared" si="3" ref="G21:P21">SUM(G23:G24)</f>
        <v>95859</v>
      </c>
      <c r="H21" s="20">
        <f t="shared" si="3"/>
        <v>159025</v>
      </c>
      <c r="I21" s="20">
        <f t="shared" si="3"/>
        <v>153435</v>
      </c>
      <c r="J21" s="20">
        <f t="shared" si="3"/>
        <v>143859</v>
      </c>
      <c r="K21" s="23">
        <f t="shared" si="3"/>
        <v>160783</v>
      </c>
      <c r="L21" s="21">
        <f t="shared" si="3"/>
        <v>177351</v>
      </c>
      <c r="M21" s="21">
        <f t="shared" si="3"/>
        <v>91879</v>
      </c>
      <c r="N21" s="21">
        <f t="shared" si="3"/>
        <v>101837</v>
      </c>
      <c r="O21" s="20">
        <f t="shared" si="3"/>
        <v>58521</v>
      </c>
      <c r="P21" s="20">
        <f t="shared" si="3"/>
        <v>47064</v>
      </c>
    </row>
    <row r="22" spans="1:16" ht="11.25">
      <c r="A22" s="19"/>
      <c r="B22" s="19" t="s">
        <v>19</v>
      </c>
      <c r="C22" s="21">
        <v>43</v>
      </c>
      <c r="D22" s="21">
        <v>14</v>
      </c>
      <c r="E22" s="21"/>
      <c r="F22" s="22"/>
      <c r="G22" s="20"/>
      <c r="H22" s="20"/>
      <c r="I22" s="20"/>
      <c r="J22" s="20"/>
      <c r="K22" s="23"/>
      <c r="L22" s="21"/>
      <c r="M22" s="21"/>
      <c r="N22" s="21"/>
      <c r="O22" s="20"/>
      <c r="P22" s="20"/>
    </row>
    <row r="23" spans="1:16" ht="11.25">
      <c r="A23" s="19"/>
      <c r="B23" s="19" t="s">
        <v>20</v>
      </c>
      <c r="C23" s="20">
        <v>81595</v>
      </c>
      <c r="D23" s="20">
        <v>74476</v>
      </c>
      <c r="E23" s="21">
        <v>127043</v>
      </c>
      <c r="F23" s="22">
        <v>27969</v>
      </c>
      <c r="G23" s="20">
        <f>9952+19433</f>
        <v>29385</v>
      </c>
      <c r="H23" s="20">
        <v>28633</v>
      </c>
      <c r="I23" s="20">
        <v>27958</v>
      </c>
      <c r="J23" s="20">
        <v>20774</v>
      </c>
      <c r="K23" s="23">
        <v>18606</v>
      </c>
      <c r="L23" s="21">
        <v>15264</v>
      </c>
      <c r="M23" s="21">
        <v>19269</v>
      </c>
      <c r="N23" s="21">
        <v>39630</v>
      </c>
      <c r="O23" s="20">
        <v>38431</v>
      </c>
      <c r="P23" s="20">
        <v>40014</v>
      </c>
    </row>
    <row r="24" spans="1:16" ht="11.25">
      <c r="A24" s="19"/>
      <c r="B24" s="19" t="s">
        <v>21</v>
      </c>
      <c r="C24" s="20">
        <v>88554</v>
      </c>
      <c r="D24" s="20">
        <v>89217</v>
      </c>
      <c r="E24" s="21">
        <v>10937</v>
      </c>
      <c r="F24" s="22">
        <v>85765</v>
      </c>
      <c r="G24" s="20">
        <f>193+281+65000+1000</f>
        <v>66474</v>
      </c>
      <c r="H24" s="20">
        <v>130392</v>
      </c>
      <c r="I24" s="20">
        <v>125477</v>
      </c>
      <c r="J24" s="20">
        <v>123085</v>
      </c>
      <c r="K24" s="23">
        <v>142177</v>
      </c>
      <c r="L24" s="21">
        <v>162087</v>
      </c>
      <c r="M24" s="21">
        <v>72610</v>
      </c>
      <c r="N24" s="21">
        <v>62207</v>
      </c>
      <c r="O24" s="20">
        <v>20090</v>
      </c>
      <c r="P24" s="20">
        <v>7050</v>
      </c>
    </row>
    <row r="25" spans="1:16" ht="11.25">
      <c r="A25" s="4" t="s">
        <v>22</v>
      </c>
      <c r="B25" s="4"/>
      <c r="C25" s="24">
        <v>19384</v>
      </c>
      <c r="D25" s="24">
        <v>19009</v>
      </c>
      <c r="E25" s="24">
        <v>18826</v>
      </c>
      <c r="F25" s="25">
        <v>18695</v>
      </c>
      <c r="G25" s="24">
        <v>17998</v>
      </c>
      <c r="H25" s="24">
        <v>17597</v>
      </c>
      <c r="I25" s="24">
        <v>17035</v>
      </c>
      <c r="J25" s="24">
        <v>16630</v>
      </c>
      <c r="K25" s="26">
        <v>16902</v>
      </c>
      <c r="L25" s="24">
        <v>17917</v>
      </c>
      <c r="M25" s="24">
        <v>17414</v>
      </c>
      <c r="N25" s="24">
        <v>16963</v>
      </c>
      <c r="O25" s="24">
        <v>16505</v>
      </c>
      <c r="P25" s="24">
        <v>30525</v>
      </c>
    </row>
    <row r="26" spans="1:16" ht="11.25">
      <c r="A26" s="13" t="s">
        <v>23</v>
      </c>
      <c r="B26" s="19"/>
      <c r="C26" s="19"/>
      <c r="D26" s="19"/>
      <c r="E26" s="21"/>
      <c r="F26" s="27"/>
      <c r="G26" s="19"/>
      <c r="H26" s="20"/>
      <c r="I26" s="19"/>
      <c r="J26" s="20"/>
      <c r="K26" s="23"/>
      <c r="L26" s="21"/>
      <c r="M26" s="21"/>
      <c r="N26" s="21"/>
      <c r="O26" s="20"/>
      <c r="P26" s="20"/>
    </row>
    <row r="27" spans="1:16" ht="11.25">
      <c r="A27" s="19" t="s">
        <v>12</v>
      </c>
      <c r="B27" s="19"/>
      <c r="C27" s="21">
        <f>(C10+G10)/2</f>
        <v>290762.5</v>
      </c>
      <c r="D27" s="21">
        <f>(D10+H10)/2</f>
        <v>322573</v>
      </c>
      <c r="E27" s="21">
        <f>(E10+I10)/2</f>
        <v>301729</v>
      </c>
      <c r="F27" s="22">
        <v>285016</v>
      </c>
      <c r="G27" s="20">
        <f>(G10+K10)/2</f>
        <v>278618</v>
      </c>
      <c r="H27" s="20">
        <f>(H10+L10)/2</f>
        <v>357203.5</v>
      </c>
      <c r="I27" s="20">
        <f>(I10+M10)/2</f>
        <v>303870.5</v>
      </c>
      <c r="J27" s="20">
        <f>(J10+N10)/2</f>
        <v>311984</v>
      </c>
      <c r="K27" s="23">
        <f>(K10+253287)/2</f>
        <v>265361</v>
      </c>
      <c r="L27" s="21">
        <f>(L10+250314)/2</f>
        <v>309107</v>
      </c>
      <c r="M27" s="21">
        <f>(M10+222783)/2</f>
        <v>251907</v>
      </c>
      <c r="N27" s="21">
        <f>(N10+229819)/2</f>
        <v>261602</v>
      </c>
      <c r="O27" s="20">
        <f>(O10+P10)/2</f>
        <v>232960.5</v>
      </c>
      <c r="P27" s="20">
        <f>(P10+250193)/2</f>
        <v>231413.5</v>
      </c>
    </row>
    <row r="28" spans="1:16" ht="11.25">
      <c r="A28" s="19" t="s">
        <v>24</v>
      </c>
      <c r="B28" s="19"/>
      <c r="C28" s="21">
        <f>C29+C30</f>
        <v>22922.5</v>
      </c>
      <c r="D28" s="21">
        <f>D29+D30</f>
        <v>27514.5</v>
      </c>
      <c r="E28" s="21">
        <f>E29+E30</f>
        <v>35775.5</v>
      </c>
      <c r="F28" s="22">
        <v>41376</v>
      </c>
      <c r="G28" s="20">
        <f aca="true" t="shared" si="4" ref="G28:P28">G29+G30</f>
        <v>42060.5</v>
      </c>
      <c r="H28" s="20">
        <f t="shared" si="4"/>
        <v>47166</v>
      </c>
      <c r="I28" s="20">
        <f t="shared" si="4"/>
        <v>61943</v>
      </c>
      <c r="J28" s="20">
        <f t="shared" si="4"/>
        <v>62991</v>
      </c>
      <c r="K28" s="23">
        <f t="shared" si="4"/>
        <v>58228.5</v>
      </c>
      <c r="L28" s="21">
        <f t="shared" si="4"/>
        <v>56075.5</v>
      </c>
      <c r="M28" s="21">
        <f t="shared" si="4"/>
        <v>62172</v>
      </c>
      <c r="N28" s="21">
        <f t="shared" si="4"/>
        <v>68234.5</v>
      </c>
      <c r="O28" s="20">
        <f t="shared" si="4"/>
        <v>71614.5</v>
      </c>
      <c r="P28" s="20">
        <f t="shared" si="4"/>
        <v>125010</v>
      </c>
    </row>
    <row r="29" spans="1:16" ht="11.25">
      <c r="A29" s="19"/>
      <c r="B29" s="19" t="s">
        <v>14</v>
      </c>
      <c r="C29" s="21">
        <f>(C12+G12)/2</f>
        <v>22381.5</v>
      </c>
      <c r="D29" s="21">
        <f>(D12+H12)/2</f>
        <v>26973.5</v>
      </c>
      <c r="E29" s="21">
        <f>(E12+I12)/2</f>
        <v>35236</v>
      </c>
      <c r="F29" s="22">
        <v>40884</v>
      </c>
      <c r="G29" s="20">
        <f>(G12+K12)/2</f>
        <v>41570</v>
      </c>
      <c r="H29" s="20">
        <f>(H12+L12)/2</f>
        <v>46658.5</v>
      </c>
      <c r="I29" s="20">
        <f>(I12+M12)/2</f>
        <v>61439</v>
      </c>
      <c r="J29" s="20">
        <f>(J12+N12)/2</f>
        <v>62544</v>
      </c>
      <c r="K29" s="23">
        <f>(K12+O12)/2</f>
        <v>58001.5</v>
      </c>
      <c r="L29" s="21">
        <f>(L12+61681)/2</f>
        <v>55824.5</v>
      </c>
      <c r="M29" s="21">
        <f>(M12+63874)/2</f>
        <v>61924</v>
      </c>
      <c r="N29" s="21">
        <f>(N12+73484)/2</f>
        <v>67992.5</v>
      </c>
      <c r="O29" s="20">
        <f>(O12+P12)/2</f>
        <v>71591.5</v>
      </c>
      <c r="P29" s="20">
        <f>(P12+164231)/2</f>
        <v>124982.5</v>
      </c>
    </row>
    <row r="30" spans="1:16" ht="11.25">
      <c r="A30" s="19"/>
      <c r="B30" s="19" t="s">
        <v>17</v>
      </c>
      <c r="C30" s="21">
        <f>(C15+G15)/2</f>
        <v>541</v>
      </c>
      <c r="D30" s="21">
        <f>(D15+H15)/2</f>
        <v>541</v>
      </c>
      <c r="E30" s="21">
        <f>(E15+I15)/2</f>
        <v>539.5</v>
      </c>
      <c r="F30" s="22">
        <v>492</v>
      </c>
      <c r="G30" s="20">
        <f>(G15+K15)/2</f>
        <v>490.5</v>
      </c>
      <c r="H30" s="20">
        <f>(H15+L15)/2</f>
        <v>507.5</v>
      </c>
      <c r="I30" s="20">
        <f>(I15+M15)/2</f>
        <v>504</v>
      </c>
      <c r="J30" s="20">
        <f>(J15+N15)/2</f>
        <v>447</v>
      </c>
      <c r="K30" s="23">
        <f>(K15+O15)/2</f>
        <v>227</v>
      </c>
      <c r="L30" s="21">
        <f>(L15+28)/2</f>
        <v>251</v>
      </c>
      <c r="M30" s="21">
        <f>(M15+26)/2</f>
        <v>248</v>
      </c>
      <c r="N30" s="21">
        <f>(N15+33)/2</f>
        <v>242</v>
      </c>
      <c r="O30" s="20">
        <f>(O15+P15)/2</f>
        <v>23</v>
      </c>
      <c r="P30" s="20">
        <f>(P15+23)/2</f>
        <v>27.5</v>
      </c>
    </row>
    <row r="31" spans="1:16" ht="11.25">
      <c r="A31" s="4" t="s">
        <v>22</v>
      </c>
      <c r="B31" s="4"/>
      <c r="C31" s="24">
        <f>(C25+G25)/2</f>
        <v>18691</v>
      </c>
      <c r="D31" s="24">
        <f>(D25+H25)/2</f>
        <v>18303</v>
      </c>
      <c r="E31" s="24">
        <f>(E25+I25)/2</f>
        <v>17930.5</v>
      </c>
      <c r="F31" s="25">
        <v>17662.5</v>
      </c>
      <c r="G31" s="24">
        <f>(G25+K25)/2</f>
        <v>17450</v>
      </c>
      <c r="H31" s="24">
        <f>(H25+L25)/2</f>
        <v>17757</v>
      </c>
      <c r="I31" s="24">
        <f>(I25+M25)/2</f>
        <v>17224.5</v>
      </c>
      <c r="J31" s="24">
        <f>(J25+N25)/2</f>
        <v>16796.5</v>
      </c>
      <c r="K31" s="26">
        <f>(K25+O25)/2</f>
        <v>16703.5</v>
      </c>
      <c r="L31" s="24">
        <f>(L25+21955)/2</f>
        <v>19936</v>
      </c>
      <c r="M31" s="24">
        <f>(M25+26547)/2</f>
        <v>21980.5</v>
      </c>
      <c r="N31" s="24">
        <f>(N25+31238)/2</f>
        <v>24100.5</v>
      </c>
      <c r="O31" s="24">
        <f>(O25+P25)/2</f>
        <v>23515</v>
      </c>
      <c r="P31" s="24">
        <f>(P25+54665)/2</f>
        <v>42595</v>
      </c>
    </row>
    <row r="32" spans="1:16" ht="11.25">
      <c r="A32" s="13" t="s">
        <v>25</v>
      </c>
      <c r="B32" s="19"/>
      <c r="C32" s="19"/>
      <c r="D32" s="19"/>
      <c r="E32" s="21"/>
      <c r="F32" s="27"/>
      <c r="G32" s="19"/>
      <c r="H32" s="20"/>
      <c r="I32" s="19"/>
      <c r="J32" s="20"/>
      <c r="K32" s="28"/>
      <c r="L32" s="5"/>
      <c r="M32" s="5"/>
      <c r="N32" s="5"/>
      <c r="O32" s="19"/>
      <c r="P32" s="19"/>
    </row>
    <row r="33" spans="1:16" ht="11.25">
      <c r="A33" s="19" t="s">
        <v>26</v>
      </c>
      <c r="B33" s="19"/>
      <c r="C33" s="20">
        <v>8329</v>
      </c>
      <c r="D33" s="20">
        <v>5864</v>
      </c>
      <c r="E33" s="21">
        <v>3774</v>
      </c>
      <c r="F33" s="29">
        <v>1916</v>
      </c>
      <c r="G33" s="30">
        <v>18325</v>
      </c>
      <c r="H33" s="20">
        <f>I33+4396</f>
        <v>14913</v>
      </c>
      <c r="I33" s="20">
        <f>J33+4806</f>
        <v>10517</v>
      </c>
      <c r="J33" s="20">
        <v>5711</v>
      </c>
      <c r="K33" s="23">
        <f>6386+L33</f>
        <v>24866</v>
      </c>
      <c r="L33" s="21">
        <f>7594+M33</f>
        <v>18480</v>
      </c>
      <c r="M33" s="21">
        <f>5664+N33</f>
        <v>10886</v>
      </c>
      <c r="N33" s="21">
        <v>5222</v>
      </c>
      <c r="O33" s="20">
        <v>17491</v>
      </c>
      <c r="P33" s="20">
        <v>14900</v>
      </c>
    </row>
    <row r="34" spans="1:16" ht="11.25">
      <c r="A34" s="19" t="s">
        <v>27</v>
      </c>
      <c r="B34" s="19"/>
      <c r="C34" s="20">
        <v>6355</v>
      </c>
      <c r="D34" s="20">
        <v>4614</v>
      </c>
      <c r="E34" s="21">
        <v>2983</v>
      </c>
      <c r="F34" s="29">
        <v>1501</v>
      </c>
      <c r="G34" s="30">
        <v>16073</v>
      </c>
      <c r="H34" s="20">
        <f>I34+3293</f>
        <v>13182</v>
      </c>
      <c r="I34" s="20">
        <f>J34+4233</f>
        <v>9889</v>
      </c>
      <c r="J34" s="20">
        <v>5656</v>
      </c>
      <c r="K34" s="23">
        <f>6258+L34</f>
        <v>22497</v>
      </c>
      <c r="L34" s="21">
        <f>6889+M34</f>
        <v>16239</v>
      </c>
      <c r="M34" s="21">
        <f>4944+N34</f>
        <v>9350</v>
      </c>
      <c r="N34" s="21">
        <v>4406</v>
      </c>
      <c r="O34" s="20">
        <v>13894</v>
      </c>
      <c r="P34" s="20">
        <v>9597</v>
      </c>
    </row>
    <row r="35" spans="1:16" ht="11.25">
      <c r="A35" s="19" t="s">
        <v>28</v>
      </c>
      <c r="B35" s="19"/>
      <c r="C35" s="21">
        <f>C33-C34</f>
        <v>1974</v>
      </c>
      <c r="D35" s="21">
        <f>D33-D34</f>
        <v>1250</v>
      </c>
      <c r="E35" s="21">
        <f>E33-E34</f>
        <v>791</v>
      </c>
      <c r="F35" s="22">
        <v>415</v>
      </c>
      <c r="G35" s="20">
        <f aca="true" t="shared" si="5" ref="G35:P35">G33-G34</f>
        <v>2252</v>
      </c>
      <c r="H35" s="20">
        <f t="shared" si="5"/>
        <v>1731</v>
      </c>
      <c r="I35" s="20">
        <f t="shared" si="5"/>
        <v>628</v>
      </c>
      <c r="J35" s="20">
        <f t="shared" si="5"/>
        <v>55</v>
      </c>
      <c r="K35" s="23">
        <f t="shared" si="5"/>
        <v>2369</v>
      </c>
      <c r="L35" s="21">
        <f t="shared" si="5"/>
        <v>2241</v>
      </c>
      <c r="M35" s="21">
        <f t="shared" si="5"/>
        <v>1536</v>
      </c>
      <c r="N35" s="21">
        <f t="shared" si="5"/>
        <v>816</v>
      </c>
      <c r="O35" s="20">
        <f t="shared" si="5"/>
        <v>3597</v>
      </c>
      <c r="P35" s="20">
        <f t="shared" si="5"/>
        <v>5303</v>
      </c>
    </row>
    <row r="36" spans="1:16" ht="11.25">
      <c r="A36" s="19" t="s">
        <v>29</v>
      </c>
      <c r="B36" s="19"/>
      <c r="C36" s="20">
        <v>1110</v>
      </c>
      <c r="D36" s="20">
        <v>1004</v>
      </c>
      <c r="E36" s="21">
        <v>855</v>
      </c>
      <c r="F36" s="29">
        <v>690</v>
      </c>
      <c r="G36" s="30">
        <v>1019</v>
      </c>
      <c r="H36" s="20">
        <f>I36+372</f>
        <v>696</v>
      </c>
      <c r="I36" s="20">
        <f>J36+121</f>
        <v>324</v>
      </c>
      <c r="J36" s="20">
        <v>203</v>
      </c>
      <c r="K36" s="23">
        <f>218+L36</f>
        <v>686</v>
      </c>
      <c r="L36" s="21">
        <f>182+M36</f>
        <v>468</v>
      </c>
      <c r="M36" s="21">
        <f>159+N36</f>
        <v>286</v>
      </c>
      <c r="N36" s="21">
        <v>127</v>
      </c>
      <c r="O36" s="20">
        <v>553</v>
      </c>
      <c r="P36" s="20">
        <v>458</v>
      </c>
    </row>
    <row r="37" spans="1:16" ht="11.25">
      <c r="A37" s="19" t="s">
        <v>30</v>
      </c>
      <c r="B37" s="19"/>
      <c r="C37" s="21">
        <f>C35+C36</f>
        <v>3084</v>
      </c>
      <c r="D37" s="21">
        <f>D35+D36</f>
        <v>2254</v>
      </c>
      <c r="E37" s="21">
        <f>E35+E36</f>
        <v>1646</v>
      </c>
      <c r="F37" s="22">
        <v>1105</v>
      </c>
      <c r="G37" s="20">
        <f aca="true" t="shared" si="6" ref="G37:P37">G35+G36</f>
        <v>3271</v>
      </c>
      <c r="H37" s="20">
        <f t="shared" si="6"/>
        <v>2427</v>
      </c>
      <c r="I37" s="20">
        <f t="shared" si="6"/>
        <v>952</v>
      </c>
      <c r="J37" s="20">
        <f t="shared" si="6"/>
        <v>258</v>
      </c>
      <c r="K37" s="23">
        <f t="shared" si="6"/>
        <v>3055</v>
      </c>
      <c r="L37" s="21">
        <f t="shared" si="6"/>
        <v>2709</v>
      </c>
      <c r="M37" s="21">
        <f t="shared" si="6"/>
        <v>1822</v>
      </c>
      <c r="N37" s="21">
        <f t="shared" si="6"/>
        <v>943</v>
      </c>
      <c r="O37" s="20">
        <f t="shared" si="6"/>
        <v>4150</v>
      </c>
      <c r="P37" s="20">
        <f t="shared" si="6"/>
        <v>5761</v>
      </c>
    </row>
    <row r="38" spans="1:16" ht="11.25">
      <c r="A38" s="19" t="s">
        <v>31</v>
      </c>
      <c r="B38" s="19"/>
      <c r="C38" s="20">
        <v>1528</v>
      </c>
      <c r="D38" s="20">
        <v>1134</v>
      </c>
      <c r="E38" s="21">
        <v>796</v>
      </c>
      <c r="F38" s="29">
        <v>406</v>
      </c>
      <c r="G38" s="30">
        <v>1564</v>
      </c>
      <c r="H38" s="20">
        <f>I38+387</f>
        <v>1120</v>
      </c>
      <c r="I38" s="20">
        <f>J38+375</f>
        <v>733</v>
      </c>
      <c r="J38" s="20">
        <v>358</v>
      </c>
      <c r="K38" s="23">
        <f>408+L38</f>
        <v>1621</v>
      </c>
      <c r="L38" s="21">
        <f>377+M38</f>
        <v>1213</v>
      </c>
      <c r="M38" s="21">
        <f>420+N38</f>
        <v>836</v>
      </c>
      <c r="N38" s="21">
        <v>416</v>
      </c>
      <c r="O38" s="20">
        <v>2262</v>
      </c>
      <c r="P38" s="20">
        <v>4256</v>
      </c>
    </row>
    <row r="39" spans="1:16" ht="11.25">
      <c r="A39" s="19" t="s">
        <v>32</v>
      </c>
      <c r="B39" s="19"/>
      <c r="C39" s="21">
        <f>C37-C38</f>
        <v>1556</v>
      </c>
      <c r="D39" s="21">
        <f>D37-D38</f>
        <v>1120</v>
      </c>
      <c r="E39" s="21">
        <f>E37-E38</f>
        <v>850</v>
      </c>
      <c r="F39" s="22">
        <v>699</v>
      </c>
      <c r="G39" s="20">
        <f aca="true" t="shared" si="7" ref="G39:P39">G37-G38</f>
        <v>1707</v>
      </c>
      <c r="H39" s="20">
        <f t="shared" si="7"/>
        <v>1307</v>
      </c>
      <c r="I39" s="20">
        <f t="shared" si="7"/>
        <v>219</v>
      </c>
      <c r="J39" s="31">
        <f t="shared" si="7"/>
        <v>-100</v>
      </c>
      <c r="K39" s="23">
        <f t="shared" si="7"/>
        <v>1434</v>
      </c>
      <c r="L39" s="21">
        <f t="shared" si="7"/>
        <v>1496</v>
      </c>
      <c r="M39" s="21">
        <f t="shared" si="7"/>
        <v>986</v>
      </c>
      <c r="N39" s="21">
        <f t="shared" si="7"/>
        <v>527</v>
      </c>
      <c r="O39" s="20">
        <f t="shared" si="7"/>
        <v>1888</v>
      </c>
      <c r="P39" s="20">
        <f t="shared" si="7"/>
        <v>1505</v>
      </c>
    </row>
    <row r="40" spans="1:16" ht="11.25">
      <c r="A40" s="4" t="s">
        <v>33</v>
      </c>
      <c r="B40" s="4"/>
      <c r="C40" s="24">
        <f>+C39-161</f>
        <v>1395</v>
      </c>
      <c r="D40" s="24">
        <v>1135</v>
      </c>
      <c r="E40" s="24">
        <v>828</v>
      </c>
      <c r="F40" s="32">
        <v>697</v>
      </c>
      <c r="G40" s="33">
        <v>1096</v>
      </c>
      <c r="H40" s="24">
        <f>I40+562</f>
        <v>695</v>
      </c>
      <c r="I40" s="24">
        <f>J40+405</f>
        <v>133</v>
      </c>
      <c r="J40" s="34">
        <v>-272</v>
      </c>
      <c r="K40" s="26">
        <f>-1017+L40</f>
        <v>301</v>
      </c>
      <c r="L40" s="24">
        <f>505+M40</f>
        <v>1318</v>
      </c>
      <c r="M40" s="24">
        <f>453+N40</f>
        <v>813</v>
      </c>
      <c r="N40" s="24">
        <v>360</v>
      </c>
      <c r="O40" s="24">
        <v>1828</v>
      </c>
      <c r="P40" s="24">
        <v>861</v>
      </c>
    </row>
    <row r="41" spans="1:16" ht="11.25">
      <c r="A41" s="13" t="s">
        <v>34</v>
      </c>
      <c r="B41" s="19"/>
      <c r="C41" s="6"/>
      <c r="D41" s="6"/>
      <c r="E41" s="35"/>
      <c r="F41" s="27"/>
      <c r="G41" s="19"/>
      <c r="H41" s="20"/>
      <c r="I41" s="20"/>
      <c r="J41" s="19"/>
      <c r="K41" s="23"/>
      <c r="L41" s="21"/>
      <c r="M41" s="21"/>
      <c r="N41" s="21"/>
      <c r="O41" s="20"/>
      <c r="P41" s="20"/>
    </row>
    <row r="42" spans="1:16" ht="11.25">
      <c r="A42" s="19" t="s">
        <v>35</v>
      </c>
      <c r="B42" s="19"/>
      <c r="C42" s="21">
        <v>0</v>
      </c>
      <c r="D42" s="5">
        <v>26</v>
      </c>
      <c r="E42" s="21">
        <v>111</v>
      </c>
      <c r="F42" s="22">
        <v>350</v>
      </c>
      <c r="G42" s="20">
        <v>1055</v>
      </c>
      <c r="H42" s="20">
        <v>2539</v>
      </c>
      <c r="I42" s="20">
        <v>2578</v>
      </c>
      <c r="J42" s="20">
        <v>2833</v>
      </c>
      <c r="K42" s="23">
        <v>2103</v>
      </c>
      <c r="L42" s="21">
        <v>1024</v>
      </c>
      <c r="M42" s="21">
        <v>2669</v>
      </c>
      <c r="N42" s="21">
        <v>2519</v>
      </c>
      <c r="O42" s="20">
        <v>2523</v>
      </c>
      <c r="P42" s="20">
        <v>3189</v>
      </c>
    </row>
    <row r="43" spans="1:16" ht="11.25">
      <c r="A43" s="19" t="s">
        <v>36</v>
      </c>
      <c r="B43" s="19"/>
      <c r="C43" s="21">
        <v>202</v>
      </c>
      <c r="D43" s="5">
        <v>26</v>
      </c>
      <c r="E43" s="21">
        <v>140</v>
      </c>
      <c r="F43" s="22">
        <v>371</v>
      </c>
      <c r="G43" s="20">
        <v>1148</v>
      </c>
      <c r="H43" s="20">
        <v>2672</v>
      </c>
      <c r="I43" s="20">
        <v>2915</v>
      </c>
      <c r="J43" s="20">
        <v>3035</v>
      </c>
      <c r="K43" s="23">
        <v>2351</v>
      </c>
      <c r="L43" s="21">
        <v>943</v>
      </c>
      <c r="M43" s="21">
        <v>3727</v>
      </c>
      <c r="N43" s="21">
        <v>3727</v>
      </c>
      <c r="O43" s="20">
        <v>3686</v>
      </c>
      <c r="P43" s="20">
        <v>3877</v>
      </c>
    </row>
    <row r="44" spans="1:16" ht="11.25">
      <c r="A44" s="19" t="s">
        <v>37</v>
      </c>
      <c r="B44" s="19"/>
      <c r="C44" s="36">
        <f>C42/C12</f>
        <v>0</v>
      </c>
      <c r="D44" s="36">
        <f>D42/D12</f>
        <v>0.002453293074164937</v>
      </c>
      <c r="E44" s="36">
        <f>E42/E12</f>
        <v>0.014667019027484143</v>
      </c>
      <c r="F44" s="37">
        <v>0.018247223815233825</v>
      </c>
      <c r="G44" s="38">
        <f aca="true" t="shared" si="8" ref="G44:P44">G42/G12</f>
        <v>0.04291059952818677</v>
      </c>
      <c r="H44" s="38">
        <f t="shared" si="8"/>
        <v>0.058571131975362754</v>
      </c>
      <c r="I44" s="38">
        <f t="shared" si="8"/>
        <v>0.0409830853363856</v>
      </c>
      <c r="J44" s="38">
        <f t="shared" si="8"/>
        <v>0.04526499113234378</v>
      </c>
      <c r="K44" s="39">
        <f t="shared" si="8"/>
        <v>0.035915565119376984</v>
      </c>
      <c r="L44" s="36">
        <f t="shared" si="8"/>
        <v>0.020493115593980146</v>
      </c>
      <c r="M44" s="36">
        <f t="shared" si="8"/>
        <v>0.04450261780104712</v>
      </c>
      <c r="N44" s="36">
        <f t="shared" si="8"/>
        <v>0.04030335514631766</v>
      </c>
      <c r="O44" s="38">
        <f t="shared" si="8"/>
        <v>0.043917213528520946</v>
      </c>
      <c r="P44" s="38">
        <f t="shared" si="8"/>
        <v>0.03719644481769193</v>
      </c>
    </row>
    <row r="45" spans="1:16" ht="11.25">
      <c r="A45" s="19" t="s">
        <v>38</v>
      </c>
      <c r="B45" s="19"/>
      <c r="C45" s="36">
        <v>0</v>
      </c>
      <c r="D45" s="36">
        <f>D43/D42</f>
        <v>1</v>
      </c>
      <c r="E45" s="36">
        <f>E43/E42</f>
        <v>1.2612612612612613</v>
      </c>
      <c r="F45" s="37">
        <v>1.06</v>
      </c>
      <c r="G45" s="38">
        <f aca="true" t="shared" si="9" ref="G45:P45">G43/G42</f>
        <v>1.0881516587677724</v>
      </c>
      <c r="H45" s="38">
        <f t="shared" si="9"/>
        <v>1.052382827884994</v>
      </c>
      <c r="I45" s="38">
        <f t="shared" si="9"/>
        <v>1.130721489526765</v>
      </c>
      <c r="J45" s="38">
        <f t="shared" si="9"/>
        <v>1.0713025061771972</v>
      </c>
      <c r="K45" s="39">
        <f t="shared" si="9"/>
        <v>1.117926771279125</v>
      </c>
      <c r="L45" s="36">
        <f t="shared" si="9"/>
        <v>0.9208984375</v>
      </c>
      <c r="M45" s="36">
        <f t="shared" si="9"/>
        <v>1.3964031472461595</v>
      </c>
      <c r="N45" s="36">
        <f t="shared" si="9"/>
        <v>1.479555379118698</v>
      </c>
      <c r="O45" s="38">
        <f t="shared" si="9"/>
        <v>1.4609591755846214</v>
      </c>
      <c r="P45" s="38">
        <f t="shared" si="9"/>
        <v>1.21574161179053</v>
      </c>
    </row>
    <row r="46" spans="1:16" ht="11.25">
      <c r="A46" s="4" t="s">
        <v>39</v>
      </c>
      <c r="B46" s="4"/>
      <c r="C46" s="40">
        <f>C44/C14</f>
        <v>0</v>
      </c>
      <c r="D46" s="40">
        <f>D43/D12</f>
        <v>0.002453293074164937</v>
      </c>
      <c r="E46" s="40">
        <f>E43/E12</f>
        <v>0.01849894291754757</v>
      </c>
      <c r="F46" s="41">
        <v>0.019342057244147854</v>
      </c>
      <c r="G46" s="40">
        <f aca="true" t="shared" si="10" ref="G46:P46">G43/G12</f>
        <v>0.04669324005531603</v>
      </c>
      <c r="H46" s="40">
        <f t="shared" si="10"/>
        <v>0.06163925350065746</v>
      </c>
      <c r="I46" s="40">
        <f t="shared" si="10"/>
        <v>0.046340455296960445</v>
      </c>
      <c r="J46" s="40">
        <f t="shared" si="10"/>
        <v>0.0484924984421685</v>
      </c>
      <c r="K46" s="42">
        <f t="shared" si="10"/>
        <v>0.04015097175257028</v>
      </c>
      <c r="L46" s="40">
        <f t="shared" si="10"/>
        <v>0.018872078130003203</v>
      </c>
      <c r="M46" s="40">
        <f t="shared" si="10"/>
        <v>0.062143595558075165</v>
      </c>
      <c r="N46" s="40">
        <f t="shared" si="10"/>
        <v>0.059631045903265546</v>
      </c>
      <c r="O46" s="40">
        <f t="shared" si="10"/>
        <v>0.06416125607060175</v>
      </c>
      <c r="P46" s="40">
        <f t="shared" si="10"/>
        <v>0.04522126577553829</v>
      </c>
    </row>
    <row r="47" spans="1:16" ht="11.25">
      <c r="A47" s="13" t="s">
        <v>40</v>
      </c>
      <c r="B47" s="19"/>
      <c r="C47" s="19"/>
      <c r="D47" s="19"/>
      <c r="E47" s="5"/>
      <c r="F47" s="27"/>
      <c r="G47" s="19"/>
      <c r="H47" s="19"/>
      <c r="I47" s="19"/>
      <c r="J47" s="19"/>
      <c r="K47" s="28"/>
      <c r="L47" s="5"/>
      <c r="M47" s="5"/>
      <c r="N47" s="5"/>
      <c r="O47" s="19"/>
      <c r="P47" s="19"/>
    </row>
    <row r="48" spans="1:16" ht="11.25">
      <c r="A48" s="19" t="s">
        <v>41</v>
      </c>
      <c r="B48" s="19"/>
      <c r="C48" s="36">
        <f>C25/(C12+C15)</f>
        <v>0.9356115455159765</v>
      </c>
      <c r="D48" s="36">
        <f>D25/(D12+D15)</f>
        <v>1.7065266181883472</v>
      </c>
      <c r="E48" s="36">
        <f>E25/(E12+E15)</f>
        <v>2.321617955358244</v>
      </c>
      <c r="F48" s="37">
        <v>0.947926173816043</v>
      </c>
      <c r="G48" s="38">
        <f aca="true" t="shared" si="11" ref="G48:P48">G25/(G12+G15)</f>
        <v>0.7162812910415092</v>
      </c>
      <c r="H48" s="38">
        <f t="shared" si="11"/>
        <v>0.40093415356573253</v>
      </c>
      <c r="I48" s="38">
        <f t="shared" si="11"/>
        <v>0.2685129724787995</v>
      </c>
      <c r="J48" s="38">
        <f t="shared" si="11"/>
        <v>0.26384261462795494</v>
      </c>
      <c r="K48" s="39">
        <f t="shared" si="11"/>
        <v>0.2865037122419229</v>
      </c>
      <c r="L48" s="36">
        <f t="shared" si="11"/>
        <v>0.35520003171959874</v>
      </c>
      <c r="M48" s="36">
        <f t="shared" si="11"/>
        <v>0.28810138309840516</v>
      </c>
      <c r="N48" s="36">
        <f t="shared" si="11"/>
        <v>0.26945927055534374</v>
      </c>
      <c r="O48" s="38">
        <f t="shared" si="11"/>
        <v>0.28722830343003325</v>
      </c>
      <c r="P48" s="38">
        <f t="shared" si="11"/>
        <v>0.3559102674719586</v>
      </c>
    </row>
    <row r="49" spans="1:16" ht="11.25">
      <c r="A49" s="4" t="s">
        <v>42</v>
      </c>
      <c r="B49" s="4"/>
      <c r="C49" s="40">
        <f>C25/C10</f>
        <v>0.06424414365446567</v>
      </c>
      <c r="D49" s="40">
        <f>D25/D10</f>
        <v>0.06365210170138529</v>
      </c>
      <c r="E49" s="40">
        <f>E25/E10</f>
        <v>0.06802578519085956</v>
      </c>
      <c r="F49" s="41">
        <v>0.9746624263594181</v>
      </c>
      <c r="G49" s="40">
        <f>G25/G12</f>
        <v>0.7320426258846499</v>
      </c>
      <c r="H49" s="40">
        <f aca="true" t="shared" si="12" ref="H49:P49">H25/H10</f>
        <v>0.05078396684626862</v>
      </c>
      <c r="I49" s="40">
        <f t="shared" si="12"/>
        <v>0.05214104251476845</v>
      </c>
      <c r="J49" s="40">
        <f t="shared" si="12"/>
        <v>0.050305067108714</v>
      </c>
      <c r="K49" s="42">
        <f t="shared" si="12"/>
        <v>0.06092237821471696</v>
      </c>
      <c r="L49" s="40">
        <f t="shared" si="12"/>
        <v>0.04870073389508019</v>
      </c>
      <c r="M49" s="40">
        <f t="shared" si="12"/>
        <v>0.06196469428639545</v>
      </c>
      <c r="N49" s="40">
        <f t="shared" si="12"/>
        <v>0.05781822519897063</v>
      </c>
      <c r="O49" s="40">
        <f t="shared" si="12"/>
        <v>0.06516323380197167</v>
      </c>
      <c r="P49" s="40">
        <f t="shared" si="12"/>
        <v>0.14355653376223934</v>
      </c>
    </row>
    <row r="50" spans="1:16" ht="11.25">
      <c r="A50" s="13" t="s">
        <v>43</v>
      </c>
      <c r="B50" s="19"/>
      <c r="C50" s="19"/>
      <c r="D50" s="19"/>
      <c r="E50" s="5"/>
      <c r="F50" s="27"/>
      <c r="G50" s="19"/>
      <c r="H50" s="19"/>
      <c r="I50" s="19"/>
      <c r="J50" s="43"/>
      <c r="K50" s="44"/>
      <c r="L50" s="45"/>
      <c r="M50" s="45"/>
      <c r="N50" s="45"/>
      <c r="O50" s="43"/>
      <c r="P50" s="43"/>
    </row>
    <row r="51" spans="1:16" ht="11.25">
      <c r="A51" s="19" t="s">
        <v>44</v>
      </c>
      <c r="B51" s="19"/>
      <c r="C51" s="45">
        <f>C11/C16</f>
        <v>1.597582987191799</v>
      </c>
      <c r="D51" s="45">
        <f>D11/D16</f>
        <v>1.7087033854873233</v>
      </c>
      <c r="E51" s="45">
        <f>E11/E16</f>
        <v>1.9111257596940217</v>
      </c>
      <c r="F51" s="46">
        <v>1.8679834849520909</v>
      </c>
      <c r="G51" s="43">
        <f aca="true" t="shared" si="13" ref="G51:P51">G11/G16</f>
        <v>2.4861085780290595</v>
      </c>
      <c r="H51" s="43">
        <f t="shared" si="13"/>
        <v>1.8289999628745035</v>
      </c>
      <c r="I51" s="43">
        <f t="shared" si="13"/>
        <v>1.6549474911737756</v>
      </c>
      <c r="J51" s="43">
        <f t="shared" si="13"/>
        <v>1.778920378603966</v>
      </c>
      <c r="K51" s="44">
        <f t="shared" si="13"/>
        <v>1.2972954867941073</v>
      </c>
      <c r="L51" s="45">
        <f t="shared" si="13"/>
        <v>1.7065086268911096</v>
      </c>
      <c r="M51" s="45">
        <f t="shared" si="13"/>
        <v>2.260626995342021</v>
      </c>
      <c r="N51" s="45">
        <f t="shared" si="13"/>
        <v>2.0956958149030283</v>
      </c>
      <c r="O51" s="43">
        <f t="shared" si="13"/>
        <v>3.0057187993680885</v>
      </c>
      <c r="P51" s="43">
        <f t="shared" si="13"/>
        <v>2.3040953371796085</v>
      </c>
    </row>
    <row r="52" spans="1:16" ht="11.25">
      <c r="A52" s="19" t="s">
        <v>45</v>
      </c>
      <c r="B52" s="19"/>
      <c r="C52" s="45">
        <f>C11/C10</f>
        <v>0.9152569898317667</v>
      </c>
      <c r="D52" s="45">
        <f>D11/D10</f>
        <v>0.9489617899872421</v>
      </c>
      <c r="E52" s="45">
        <f>E11/E10</f>
        <v>0.9533185425007588</v>
      </c>
      <c r="F52" s="46">
        <v>0.9012775162978338</v>
      </c>
      <c r="G52" s="43">
        <f aca="true" t="shared" si="14" ref="G52:P52">G11/G10</f>
        <v>0.8769232418754758</v>
      </c>
      <c r="H52" s="43">
        <f t="shared" si="14"/>
        <v>0.8530621315009509</v>
      </c>
      <c r="I52" s="43">
        <f t="shared" si="14"/>
        <v>0.7905665574974748</v>
      </c>
      <c r="J52" s="43">
        <f t="shared" si="14"/>
        <v>0.7891149877640411</v>
      </c>
      <c r="K52" s="44">
        <f t="shared" si="14"/>
        <v>0.7678375114891777</v>
      </c>
      <c r="L52" s="45">
        <f t="shared" si="14"/>
        <v>0.8382440880674096</v>
      </c>
      <c r="M52" s="45">
        <f t="shared" si="14"/>
        <v>0.7684881739025232</v>
      </c>
      <c r="N52" s="45">
        <f t="shared" si="14"/>
        <v>0.7557748351142697</v>
      </c>
      <c r="O52" s="43">
        <f t="shared" si="14"/>
        <v>0.7511715958576635</v>
      </c>
      <c r="P52" s="43">
        <f t="shared" si="14"/>
        <v>0.5728434775247608</v>
      </c>
    </row>
    <row r="53" spans="1:16" ht="11.25">
      <c r="A53" s="4" t="s">
        <v>46</v>
      </c>
      <c r="B53" s="4"/>
      <c r="C53" s="47">
        <f>(C11+C15)/C16</f>
        <v>1.6007127237385599</v>
      </c>
      <c r="D53" s="47">
        <f>(D11+D15)/D16</f>
        <v>1.7119652708691326</v>
      </c>
      <c r="E53" s="47">
        <f>(E11+E15)/E16</f>
        <v>1.9150446580561975</v>
      </c>
      <c r="F53" s="48">
        <v>1.8726662108005643</v>
      </c>
      <c r="G53" s="47">
        <f aca="true" t="shared" si="15" ref="G53:P53">(G11+G15)/G16</f>
        <v>2.4915901675887087</v>
      </c>
      <c r="H53" s="47">
        <f t="shared" si="15"/>
        <v>1.832347445147079</v>
      </c>
      <c r="I53" s="47">
        <f t="shared" si="15"/>
        <v>1.6583946844024118</v>
      </c>
      <c r="J53" s="47">
        <f t="shared" si="15"/>
        <v>1.7819413000190938</v>
      </c>
      <c r="K53" s="49">
        <f t="shared" si="15"/>
        <v>1.2999750315150997</v>
      </c>
      <c r="L53" s="47">
        <f t="shared" si="15"/>
        <v>1.7091315559392188</v>
      </c>
      <c r="M53" s="47">
        <f t="shared" si="15"/>
        <v>2.2655466582927724</v>
      </c>
      <c r="N53" s="47">
        <f t="shared" si="15"/>
        <v>2.0999584136705605</v>
      </c>
      <c r="O53" s="47">
        <f t="shared" si="15"/>
        <v>3.0059399684044235</v>
      </c>
      <c r="P53" s="47">
        <f t="shared" si="15"/>
        <v>2.304700652605694</v>
      </c>
    </row>
    <row r="54" spans="1:16" ht="11.25">
      <c r="A54" s="13" t="s">
        <v>47</v>
      </c>
      <c r="B54" s="19"/>
      <c r="C54" s="19"/>
      <c r="D54" s="19"/>
      <c r="E54" s="5"/>
      <c r="F54" s="27"/>
      <c r="G54" s="19"/>
      <c r="H54" s="19"/>
      <c r="I54" s="19"/>
      <c r="J54" s="19"/>
      <c r="K54" s="28"/>
      <c r="L54" s="5"/>
      <c r="M54" s="5"/>
      <c r="N54" s="5"/>
      <c r="O54" s="19"/>
      <c r="P54" s="19"/>
    </row>
    <row r="55" spans="1:16" ht="11.25">
      <c r="A55" s="19" t="s">
        <v>48</v>
      </c>
      <c r="B55" s="5"/>
      <c r="C55" s="50">
        <f>C40/C28</f>
        <v>0.06085723633984077</v>
      </c>
      <c r="D55" s="36">
        <f>(D40/0.75)/D28</f>
        <v>0.05500130234361276</v>
      </c>
      <c r="E55" s="36">
        <f>(E40/0.5)/E28</f>
        <v>0.04628866123464382</v>
      </c>
      <c r="F55" s="37">
        <v>0.06738205723124517</v>
      </c>
      <c r="G55" s="50">
        <f>G40/G28</f>
        <v>0.026057702595071387</v>
      </c>
      <c r="H55" s="50">
        <f>(H40/0.75)/H28</f>
        <v>0.01964692080453434</v>
      </c>
      <c r="I55" s="38">
        <f>(I40/0.5)/I28</f>
        <v>0.00429427053904396</v>
      </c>
      <c r="J55" s="38">
        <f>((J40)/0.25)/J28</f>
        <v>-0.017272308742518772</v>
      </c>
      <c r="K55" s="51">
        <f>K40/K28</f>
        <v>0.005169289952514662</v>
      </c>
      <c r="L55" s="50">
        <f>(L40/0.75)/L28</f>
        <v>0.03133870109643843</v>
      </c>
      <c r="M55" s="50">
        <f>(M40/0.5)/M28</f>
        <v>0.02615325226790195</v>
      </c>
      <c r="N55" s="36">
        <f>((N40)/0.25)/N28</f>
        <v>0.021103693879196007</v>
      </c>
      <c r="O55" s="38">
        <f>O40/O28</f>
        <v>0.02552555697519357</v>
      </c>
      <c r="P55" s="38">
        <f>P40/P28</f>
        <v>0.006887449004079674</v>
      </c>
    </row>
    <row r="56" spans="1:16" ht="11.25">
      <c r="A56" s="19" t="s">
        <v>49</v>
      </c>
      <c r="B56" s="5"/>
      <c r="C56" s="50">
        <f>C40/C27</f>
        <v>0.00479773010618632</v>
      </c>
      <c r="D56" s="36">
        <f>(D40/0.75)/D27</f>
        <v>0.004691444520568471</v>
      </c>
      <c r="E56" s="36">
        <f>(E40/0.5)/E27</f>
        <v>0.005488368701715778</v>
      </c>
      <c r="F56" s="37">
        <v>0.009781906980660735</v>
      </c>
      <c r="G56" s="50">
        <f>G40/G27</f>
        <v>0.003933701340186205</v>
      </c>
      <c r="H56" s="50">
        <f>(H40/0.75)/H27</f>
        <v>0.002594226167063499</v>
      </c>
      <c r="I56" s="38">
        <f>(I40/0.5)/I27</f>
        <v>0.0008753728973362008</v>
      </c>
      <c r="J56" s="38">
        <f>((J40)/0.25)/J27</f>
        <v>-0.0034873583260680036</v>
      </c>
      <c r="K56" s="51">
        <f>K40/K27</f>
        <v>0.0011343038351528671</v>
      </c>
      <c r="L56" s="50">
        <f>(L40/0.75)/L27</f>
        <v>0.0056851942315552005</v>
      </c>
      <c r="M56" s="50">
        <f>(M40/0.5)/M27</f>
        <v>0.006454763067322464</v>
      </c>
      <c r="N56" s="36">
        <f>((N40)/0.25)/N27</f>
        <v>0.00550454507228538</v>
      </c>
      <c r="O56" s="38">
        <f>O40/O27</f>
        <v>0.007846823817771683</v>
      </c>
      <c r="P56" s="38">
        <f>P40/P27</f>
        <v>0.0037206126695287873</v>
      </c>
    </row>
    <row r="57" spans="1:16" ht="11.25">
      <c r="A57" s="19" t="s">
        <v>50</v>
      </c>
      <c r="B57" s="5"/>
      <c r="C57" s="50">
        <f>+C40/C31</f>
        <v>0.07463485099780644</v>
      </c>
      <c r="D57" s="36">
        <f>(D40/0.75)/D31</f>
        <v>0.08268225609645048</v>
      </c>
      <c r="E57" s="36">
        <f>(E40/0.5)/E31</f>
        <v>0.09235659909093444</v>
      </c>
      <c r="F57" s="37">
        <v>0.1578485491861288</v>
      </c>
      <c r="G57" s="50">
        <f>+G40/G31</f>
        <v>0.0628080229226361</v>
      </c>
      <c r="H57" s="50">
        <f>(H40/0.75)/H31</f>
        <v>0.05218599237859248</v>
      </c>
      <c r="I57" s="38">
        <f>(I40/0.5)/I31</f>
        <v>0.015443118813318238</v>
      </c>
      <c r="J57" s="38">
        <f>((J40)/0.25)/J31</f>
        <v>-0.0647753996368291</v>
      </c>
      <c r="K57" s="51">
        <f>+K40/K31</f>
        <v>0.018020175412338732</v>
      </c>
      <c r="L57" s="50">
        <f>(L40/0.75)/L31</f>
        <v>0.08814874264312467</v>
      </c>
      <c r="M57" s="50">
        <f>(M40/0.5)/M31</f>
        <v>0.07397465935715748</v>
      </c>
      <c r="N57" s="36">
        <f>((N40)/0.25)/N31</f>
        <v>0.059749797722038964</v>
      </c>
      <c r="O57" s="38">
        <f>O40/O31</f>
        <v>0.07773761428875187</v>
      </c>
      <c r="P57" s="38">
        <f>P40/P31</f>
        <v>0.020213640098603124</v>
      </c>
    </row>
    <row r="58" spans="1:16" ht="11.25">
      <c r="A58" s="19" t="s">
        <v>51</v>
      </c>
      <c r="B58" s="5"/>
      <c r="C58" s="50">
        <f>C33/C28</f>
        <v>0.36335478241902064</v>
      </c>
      <c r="D58" s="36">
        <f>(D33/0.75)/D28</f>
        <v>0.28416531889246277</v>
      </c>
      <c r="E58" s="36">
        <f>(E33/0.5)/E28</f>
        <v>0.21098237620718088</v>
      </c>
      <c r="F58" s="37">
        <v>0.18522815158546016</v>
      </c>
      <c r="G58" s="50">
        <f>G33/G28</f>
        <v>0.43568193435646274</v>
      </c>
      <c r="H58" s="50">
        <f>(H33/0.75)/H28</f>
        <v>0.4215748632489505</v>
      </c>
      <c r="I58" s="38">
        <f>(I33/0.5)/I28</f>
        <v>0.33957025006861147</v>
      </c>
      <c r="J58" s="38">
        <f>((J33)/0.25)/J28</f>
        <v>0.3626549824578114</v>
      </c>
      <c r="K58" s="51">
        <f>K33/K28</f>
        <v>0.4270417407283375</v>
      </c>
      <c r="L58" s="50">
        <f>(L33/0.75)/L28</f>
        <v>0.4394075844174372</v>
      </c>
      <c r="M58" s="50">
        <f>(M33/0.5)/M28</f>
        <v>0.35018979604966866</v>
      </c>
      <c r="N58" s="36">
        <f>((N33)/0.25)/N28</f>
        <v>0.30612080399211544</v>
      </c>
      <c r="O58" s="38">
        <f>O33/O28</f>
        <v>0.24423824784087023</v>
      </c>
      <c r="P58" s="38">
        <f>P33/P27</f>
        <v>0.06438690914747844</v>
      </c>
    </row>
    <row r="59" spans="1:16" ht="11.25">
      <c r="A59" s="19" t="s">
        <v>52</v>
      </c>
      <c r="B59" s="5"/>
      <c r="C59" s="50">
        <f>C34/C28</f>
        <v>0.27723852110371905</v>
      </c>
      <c r="D59" s="36">
        <f>(D34/0.75)/D28</f>
        <v>0.22359119736866015</v>
      </c>
      <c r="E59" s="36">
        <f>(E34/0.5)/E28</f>
        <v>0.16676216964123491</v>
      </c>
      <c r="F59" s="37">
        <v>0.14510827532869297</v>
      </c>
      <c r="G59" s="50">
        <f>G34/G28</f>
        <v>0.3821400126008963</v>
      </c>
      <c r="H59" s="50">
        <f>(H34/0.75)/H28</f>
        <v>0.37264130941780094</v>
      </c>
      <c r="I59" s="38">
        <f>(I34/0.5)/I28</f>
        <v>0.31929354406470467</v>
      </c>
      <c r="J59" s="38">
        <f>((J34)/0.25)/J28</f>
        <v>0.359162420028258</v>
      </c>
      <c r="K59" s="51">
        <f>K34/K28</f>
        <v>0.3863571962183467</v>
      </c>
      <c r="L59" s="50">
        <f>(L34/0.75)/L28</f>
        <v>0.38612228156681616</v>
      </c>
      <c r="M59" s="50">
        <f>(M34/0.5)/M28</f>
        <v>0.3007784854918613</v>
      </c>
      <c r="N59" s="36">
        <f>((N34)/0.25)/N28</f>
        <v>0.2582857645326045</v>
      </c>
      <c r="O59" s="38">
        <f>O34/O28</f>
        <v>0.19401098939460584</v>
      </c>
      <c r="P59" s="38">
        <f>P34/P27</f>
        <v>0.04147121926767453</v>
      </c>
    </row>
    <row r="60" spans="1:16" ht="11.25">
      <c r="A60" s="19" t="s">
        <v>53</v>
      </c>
      <c r="B60" s="5"/>
      <c r="C60" s="50">
        <f>C35/C28</f>
        <v>0.08611626131530156</v>
      </c>
      <c r="D60" s="36">
        <f>(D35/0.75)/D28</f>
        <v>0.06057412152380261</v>
      </c>
      <c r="E60" s="36">
        <f>(E35/0.5)/E28</f>
        <v>0.04422020656594597</v>
      </c>
      <c r="F60" s="37">
        <v>0.04011987625676721</v>
      </c>
      <c r="G60" s="50">
        <f>G35/G28</f>
        <v>0.053541921755566386</v>
      </c>
      <c r="H60" s="50">
        <f>(H35/0.75)/H28</f>
        <v>0.04893355383114956</v>
      </c>
      <c r="I60" s="38">
        <f>(I35/0.5)/I28</f>
        <v>0.020276706003906818</v>
      </c>
      <c r="J60" s="38">
        <f>((J35)/0.25)/J28</f>
        <v>0.0034925624295534283</v>
      </c>
      <c r="K60" s="51">
        <f>K35/K28</f>
        <v>0.04068454450999081</v>
      </c>
      <c r="L60" s="50">
        <f>(L35/0.75)/L28</f>
        <v>0.05328530285062104</v>
      </c>
      <c r="M60" s="50">
        <f>(M35/0.5)/M28</f>
        <v>0.04941131055780737</v>
      </c>
      <c r="N60" s="36">
        <f>((N35)/0.25)/N28</f>
        <v>0.04783503945951095</v>
      </c>
      <c r="O60" s="38">
        <f>O35/O28</f>
        <v>0.050227258446264376</v>
      </c>
      <c r="P60" s="38">
        <f>P35/P27</f>
        <v>0.0229156898798039</v>
      </c>
    </row>
    <row r="61" spans="1:16" ht="11.25">
      <c r="A61" s="19" t="s">
        <v>54</v>
      </c>
      <c r="B61" s="5"/>
      <c r="C61" s="50">
        <f>C38/C37</f>
        <v>0.49546044098573283</v>
      </c>
      <c r="D61" s="36">
        <f>(D38/0.75)/(D37/0.75)</f>
        <v>0.5031055900621118</v>
      </c>
      <c r="E61" s="36">
        <f>(E38/0.5)/(E37/0.5)</f>
        <v>0.4835965978128797</v>
      </c>
      <c r="F61" s="37">
        <v>0.36742081447963804</v>
      </c>
      <c r="G61" s="50">
        <f>G38/G37</f>
        <v>0.47814124121063895</v>
      </c>
      <c r="H61" s="50">
        <f>(H38/0.75)/(H37/0.75)</f>
        <v>0.46147507210548</v>
      </c>
      <c r="I61" s="38">
        <f>(I38/0.5)/(I37/0.5)</f>
        <v>0.7699579831932774</v>
      </c>
      <c r="J61" s="38">
        <f>(J38/0.25)/(J37/0.25)</f>
        <v>1.3875968992248062</v>
      </c>
      <c r="K61" s="51">
        <f>K38/K37</f>
        <v>0.5306055646481178</v>
      </c>
      <c r="L61" s="50">
        <f>(L38/0.75)/(L37/0.75)</f>
        <v>0.44776670358065707</v>
      </c>
      <c r="M61" s="50">
        <f>(M38/0.5)/(M37/0.5)</f>
        <v>0.4588364434687157</v>
      </c>
      <c r="N61" s="36">
        <f>(N38/0.25)/(N37/0.25)</f>
        <v>0.4411452810180276</v>
      </c>
      <c r="O61" s="38">
        <f>O38/O37</f>
        <v>0.5450602409638554</v>
      </c>
      <c r="P61" s="38">
        <f>P38/P37</f>
        <v>0.7387606318347509</v>
      </c>
    </row>
    <row r="62" spans="1:16" ht="11.25">
      <c r="A62" s="4" t="s">
        <v>55</v>
      </c>
      <c r="B62" s="4"/>
      <c r="C62" s="52">
        <f>C36/C28</f>
        <v>0.048424037517722764</v>
      </c>
      <c r="D62" s="40">
        <f>(D36/0.75)/D28</f>
        <v>0.048653134407918255</v>
      </c>
      <c r="E62" s="40">
        <f>(E36/0.5)/E28</f>
        <v>0.0477980741009909</v>
      </c>
      <c r="F62" s="41">
        <v>0.06670533642691415</v>
      </c>
      <c r="G62" s="52">
        <f>G36/G28</f>
        <v>0.02422700633611108</v>
      </c>
      <c r="H62" s="52">
        <f>(H36/0.75)/H28</f>
        <v>0.01967518975533223</v>
      </c>
      <c r="I62" s="40">
        <f>(I36/0.5)/I28</f>
        <v>0.010461230486092052</v>
      </c>
      <c r="J62" s="40">
        <f>(J36/0.25)/J28</f>
        <v>0.012890730421806289</v>
      </c>
      <c r="K62" s="53">
        <f>K36/K28</f>
        <v>0.011781172449917136</v>
      </c>
      <c r="L62" s="52">
        <f>(L36/0.75)/L28</f>
        <v>0.011127854410571462</v>
      </c>
      <c r="M62" s="52">
        <f>(M36/0.5)/M28</f>
        <v>0.009200283085633405</v>
      </c>
      <c r="N62" s="40">
        <f>(N36/0.25)/N28</f>
        <v>0.007444914229605258</v>
      </c>
      <c r="O62" s="40">
        <f>O36/O28</f>
        <v>0.007721899894574423</v>
      </c>
      <c r="P62" s="40">
        <f>P36/P27</f>
        <v>0.0019791412341976593</v>
      </c>
    </row>
    <row r="63" spans="1:16" ht="11.25">
      <c r="A63" s="13" t="s">
        <v>56</v>
      </c>
      <c r="B63" s="19"/>
      <c r="C63" s="19"/>
      <c r="D63" s="19"/>
      <c r="E63" s="5"/>
      <c r="F63" s="27"/>
      <c r="G63" s="19"/>
      <c r="H63" s="19"/>
      <c r="I63" s="19"/>
      <c r="J63" s="19"/>
      <c r="K63" s="28"/>
      <c r="L63" s="5"/>
      <c r="M63" s="5"/>
      <c r="N63" s="5"/>
      <c r="O63" s="19"/>
      <c r="P63" s="19"/>
    </row>
    <row r="64" spans="1:16" ht="11.25">
      <c r="A64" s="19" t="s">
        <v>57</v>
      </c>
      <c r="B64" s="19"/>
      <c r="C64" s="20">
        <v>19</v>
      </c>
      <c r="D64" s="20">
        <v>17</v>
      </c>
      <c r="E64" s="5">
        <v>18</v>
      </c>
      <c r="F64" s="27">
        <v>22</v>
      </c>
      <c r="G64" s="19">
        <v>21</v>
      </c>
      <c r="H64" s="20">
        <v>26</v>
      </c>
      <c r="I64" s="20">
        <v>26</v>
      </c>
      <c r="J64" s="20">
        <v>23</v>
      </c>
      <c r="K64" s="23">
        <v>24</v>
      </c>
      <c r="L64" s="21">
        <v>25</v>
      </c>
      <c r="M64" s="21">
        <v>23</v>
      </c>
      <c r="N64" s="21">
        <v>27</v>
      </c>
      <c r="O64" s="20">
        <v>26</v>
      </c>
      <c r="P64" s="20">
        <v>38</v>
      </c>
    </row>
    <row r="65" spans="1:16" ht="11.25">
      <c r="A65" s="19" t="s">
        <v>58</v>
      </c>
      <c r="B65" s="19"/>
      <c r="C65" s="20">
        <v>1</v>
      </c>
      <c r="D65" s="20">
        <v>1</v>
      </c>
      <c r="E65" s="5">
        <v>1</v>
      </c>
      <c r="F65" s="27">
        <v>1</v>
      </c>
      <c r="G65" s="19">
        <v>1</v>
      </c>
      <c r="H65" s="20">
        <v>1</v>
      </c>
      <c r="I65" s="20">
        <v>1</v>
      </c>
      <c r="J65" s="20">
        <v>1</v>
      </c>
      <c r="K65" s="23">
        <v>1</v>
      </c>
      <c r="L65" s="21">
        <v>1</v>
      </c>
      <c r="M65" s="21">
        <v>1</v>
      </c>
      <c r="N65" s="21">
        <v>1</v>
      </c>
      <c r="O65" s="20">
        <v>1</v>
      </c>
      <c r="P65" s="20">
        <v>1</v>
      </c>
    </row>
    <row r="66" spans="1:16" ht="11.25">
      <c r="A66" s="19" t="s">
        <v>59</v>
      </c>
      <c r="B66" s="19"/>
      <c r="C66" s="21">
        <f>C12/C64</f>
        <v>1061.9473684210527</v>
      </c>
      <c r="D66" s="21">
        <f>D12/D64</f>
        <v>623.4117647058823</v>
      </c>
      <c r="E66" s="21">
        <f>E12/E64</f>
        <v>420.44444444444446</v>
      </c>
      <c r="F66" s="22">
        <v>871.8636363636364</v>
      </c>
      <c r="G66" s="20">
        <f aca="true" t="shared" si="16" ref="G66:P66">G12/G64</f>
        <v>1170.7619047619048</v>
      </c>
      <c r="H66" s="20">
        <f t="shared" si="16"/>
        <v>1667.2692307692307</v>
      </c>
      <c r="I66" s="20">
        <f t="shared" si="16"/>
        <v>2419.3846153846152</v>
      </c>
      <c r="J66" s="20">
        <f t="shared" si="16"/>
        <v>2721.1739130434785</v>
      </c>
      <c r="K66" s="23">
        <f t="shared" si="16"/>
        <v>2439.75</v>
      </c>
      <c r="L66" s="21">
        <f t="shared" si="16"/>
        <v>1998.72</v>
      </c>
      <c r="M66" s="21">
        <f t="shared" si="16"/>
        <v>2607.5652173913045</v>
      </c>
      <c r="N66" s="21">
        <f t="shared" si="16"/>
        <v>2314.8518518518517</v>
      </c>
      <c r="O66" s="20">
        <f t="shared" si="16"/>
        <v>2209.576923076923</v>
      </c>
      <c r="P66" s="20">
        <f t="shared" si="16"/>
        <v>2256.157894736842</v>
      </c>
    </row>
    <row r="67" spans="1:16" ht="11.25">
      <c r="A67" s="19" t="s">
        <v>60</v>
      </c>
      <c r="B67" s="19"/>
      <c r="C67" s="21">
        <f>C16/C64</f>
        <v>9097.78947368421</v>
      </c>
      <c r="D67" s="21">
        <f>D16/D64</f>
        <v>9756.176470588236</v>
      </c>
      <c r="E67" s="21">
        <f>E16/E64</f>
        <v>7669.388888888889</v>
      </c>
      <c r="F67" s="22">
        <v>5251.409090909091</v>
      </c>
      <c r="G67" s="20">
        <f aca="true" t="shared" si="17" ref="G67:P67">G16/G64</f>
        <v>4699.714285714285</v>
      </c>
      <c r="H67" s="20">
        <f t="shared" si="17"/>
        <v>6215.923076923077</v>
      </c>
      <c r="I67" s="20">
        <f t="shared" si="17"/>
        <v>6002.653846153846</v>
      </c>
      <c r="J67" s="20">
        <f t="shared" si="17"/>
        <v>6375.826086956522</v>
      </c>
      <c r="K67" s="23">
        <f t="shared" si="17"/>
        <v>6841.958333333333</v>
      </c>
      <c r="L67" s="21">
        <f t="shared" si="17"/>
        <v>7228.56</v>
      </c>
      <c r="M67" s="21">
        <f t="shared" si="17"/>
        <v>4153.695652173913</v>
      </c>
      <c r="N67" s="21">
        <f t="shared" si="17"/>
        <v>3918.6666666666665</v>
      </c>
      <c r="O67" s="20">
        <f t="shared" si="17"/>
        <v>2434.6153846153848</v>
      </c>
      <c r="P67" s="20">
        <f t="shared" si="17"/>
        <v>1391.1842105263158</v>
      </c>
    </row>
    <row r="68" spans="1:16" ht="11.25">
      <c r="A68" s="4" t="s">
        <v>61</v>
      </c>
      <c r="B68" s="4"/>
      <c r="C68" s="24">
        <f>(C40/C64)</f>
        <v>73.42105263157895</v>
      </c>
      <c r="D68" s="24">
        <f>(D40/D64)</f>
        <v>66.76470588235294</v>
      </c>
      <c r="E68" s="24">
        <f>(E40/E64)</f>
        <v>46</v>
      </c>
      <c r="F68" s="25">
        <v>31.681818181818183</v>
      </c>
      <c r="G68" s="24">
        <f aca="true" t="shared" si="18" ref="G68:P68">(G40/G64)</f>
        <v>52.19047619047619</v>
      </c>
      <c r="H68" s="24">
        <f t="shared" si="18"/>
        <v>26.73076923076923</v>
      </c>
      <c r="I68" s="24">
        <f t="shared" si="18"/>
        <v>5.115384615384615</v>
      </c>
      <c r="J68" s="34">
        <f t="shared" si="18"/>
        <v>-11.826086956521738</v>
      </c>
      <c r="K68" s="26">
        <f t="shared" si="18"/>
        <v>12.541666666666666</v>
      </c>
      <c r="L68" s="24">
        <f t="shared" si="18"/>
        <v>52.72</v>
      </c>
      <c r="M68" s="24">
        <f t="shared" si="18"/>
        <v>35.34782608695652</v>
      </c>
      <c r="N68" s="24">
        <f t="shared" si="18"/>
        <v>13.333333333333334</v>
      </c>
      <c r="O68" s="24">
        <f t="shared" si="18"/>
        <v>70.3076923076923</v>
      </c>
      <c r="P68" s="24">
        <f t="shared" si="18"/>
        <v>22.657894736842106</v>
      </c>
    </row>
    <row r="69" spans="1:16" ht="11.25">
      <c r="A69" s="13" t="s">
        <v>62</v>
      </c>
      <c r="B69" s="19"/>
      <c r="C69" s="19"/>
      <c r="D69" s="19"/>
      <c r="E69" s="5"/>
      <c r="F69" s="27"/>
      <c r="G69" s="19"/>
      <c r="H69" s="19"/>
      <c r="I69" s="19"/>
      <c r="J69" s="19"/>
      <c r="K69" s="28"/>
      <c r="L69" s="5"/>
      <c r="M69" s="5"/>
      <c r="N69" s="5"/>
      <c r="O69" s="19"/>
      <c r="P69" s="19"/>
    </row>
    <row r="70" spans="1:16" ht="11.25">
      <c r="A70" s="19" t="s">
        <v>63</v>
      </c>
      <c r="B70" s="19"/>
      <c r="C70" s="36">
        <f>(C10/G10)-1</f>
        <v>0.07835211453854707</v>
      </c>
      <c r="D70" s="36">
        <f>(D10/H10)-1</f>
        <v>-0.1381443953513205</v>
      </c>
      <c r="E70" s="36">
        <f>(E10/I10)-1</f>
        <v>-0.15292461204125984</v>
      </c>
      <c r="F70" s="37">
        <v>-0.27567660769005065</v>
      </c>
      <c r="G70" s="38">
        <f>(G10/K10)-1</f>
        <v>0.008528123704651502</v>
      </c>
      <c r="H70" s="38">
        <f>(H10/L10)-1</f>
        <v>-0.058148953519978286</v>
      </c>
      <c r="I70" s="38">
        <f>(I10/M10)-1</f>
        <v>0.16254078731527843</v>
      </c>
      <c r="J70" s="38">
        <f>(J10/N10)-1</f>
        <v>0.12678903147741027</v>
      </c>
      <c r="K70" s="39">
        <f>(K10/O10)-1</f>
        <v>0.09533848953953417</v>
      </c>
      <c r="L70" s="36">
        <f>(L10/250314)-1</f>
        <v>0.4697539889898288</v>
      </c>
      <c r="M70" s="36">
        <f>(M10/222783)-1</f>
        <v>0.26145621524083973</v>
      </c>
      <c r="N70" s="36">
        <f>(N10/229816)-1</f>
        <v>0.2766082431162322</v>
      </c>
      <c r="O70" s="38">
        <f>(O10/P10)-1</f>
        <v>0.19118767459578434</v>
      </c>
      <c r="P70" s="38">
        <f>(P10/250192)-1</f>
        <v>-0.1501167103664386</v>
      </c>
    </row>
    <row r="71" spans="1:16" ht="11.25">
      <c r="A71" s="19" t="s">
        <v>64</v>
      </c>
      <c r="B71" s="19"/>
      <c r="C71" s="36">
        <f aca="true" t="shared" si="19" ref="C71:E73">(C12/G12)-1</f>
        <v>-0.17932969982917102</v>
      </c>
      <c r="D71" s="36">
        <f t="shared" si="19"/>
        <v>-0.7555191584580959</v>
      </c>
      <c r="E71" s="36">
        <f t="shared" si="19"/>
        <v>-0.8796896858705329</v>
      </c>
      <c r="F71" s="37">
        <v>-0.693530605397287</v>
      </c>
      <c r="G71" s="38">
        <f aca="true" t="shared" si="20" ref="G71:I73">(G12/K12)-1</f>
        <v>-0.5801140827270554</v>
      </c>
      <c r="H71" s="38">
        <f t="shared" si="20"/>
        <v>-0.1324647774575729</v>
      </c>
      <c r="I71" s="38">
        <f t="shared" si="20"/>
        <v>0.048854503618234624</v>
      </c>
      <c r="J71" s="38">
        <f>J12/N12-1</f>
        <v>0.0013759779843522946</v>
      </c>
      <c r="K71" s="39">
        <f>(K12/O12)-1</f>
        <v>0.019234451426482613</v>
      </c>
      <c r="L71" s="36">
        <f>L12/61681-1</f>
        <v>-0.18989640245780715</v>
      </c>
      <c r="M71" s="36">
        <f>M12/63874-1</f>
        <v>-0.06105770736136773</v>
      </c>
      <c r="N71" s="36">
        <f>N12/73484-1</f>
        <v>-0.14946110717979422</v>
      </c>
      <c r="O71" s="38">
        <f>(O12/P12)-1</f>
        <v>-0.32991578603587846</v>
      </c>
      <c r="P71" s="38">
        <f>P12/164232-1</f>
        <v>-0.4779701885138097</v>
      </c>
    </row>
    <row r="72" spans="1:16" ht="11.25">
      <c r="A72" s="19"/>
      <c r="B72" s="19" t="s">
        <v>15</v>
      </c>
      <c r="C72" s="36">
        <f t="shared" si="19"/>
        <v>-1</v>
      </c>
      <c r="D72" s="36">
        <f t="shared" si="19"/>
        <v>-1</v>
      </c>
      <c r="E72" s="36">
        <f t="shared" si="19"/>
        <v>-0.9964925235370131</v>
      </c>
      <c r="F72" s="37">
        <v>-0.9547788309636651</v>
      </c>
      <c r="G72" s="38">
        <f t="shared" si="20"/>
        <v>-0.9450202794051374</v>
      </c>
      <c r="H72" s="38">
        <f t="shared" si="20"/>
        <v>-0.5840672934190995</v>
      </c>
      <c r="I72" s="38">
        <f t="shared" si="20"/>
        <v>-0.35465808911126995</v>
      </c>
      <c r="J72" s="38">
        <f>(J13/N13)-1</f>
        <v>-0.5037726604605586</v>
      </c>
      <c r="K72" s="39">
        <f>(K13/O13)-1</f>
        <v>-0.19997596442735244</v>
      </c>
      <c r="L72" s="36">
        <f>(L13/10971)-1</f>
        <v>-0.07893537507975568</v>
      </c>
      <c r="M72" s="36">
        <f>(M13/10243)-1</f>
        <v>-0.1805135214292688</v>
      </c>
      <c r="N72" s="36">
        <f>(N13/7987)-1</f>
        <v>0.27770126455490174</v>
      </c>
      <c r="O72" s="38">
        <f>(O13/P13)-1</f>
        <v>-0.35849202066147556</v>
      </c>
      <c r="P72" s="38">
        <f>(P13/23622)-1</f>
        <v>-0.4508932351198036</v>
      </c>
    </row>
    <row r="73" spans="1:16" ht="11.25">
      <c r="A73" s="19"/>
      <c r="B73" s="19" t="s">
        <v>16</v>
      </c>
      <c r="C73" s="36">
        <f t="shared" si="19"/>
        <v>-0.16692815854665566</v>
      </c>
      <c r="D73" s="36">
        <f t="shared" si="19"/>
        <v>-0.7292699126347519</v>
      </c>
      <c r="E73" s="36">
        <f t="shared" si="19"/>
        <v>-0.8686833544975385</v>
      </c>
      <c r="F73" s="37">
        <v>-0.670531787285086</v>
      </c>
      <c r="G73" s="38">
        <f t="shared" si="20"/>
        <v>-0.533306356822167</v>
      </c>
      <c r="H73" s="38">
        <f t="shared" si="20"/>
        <v>-0.017986604119107907</v>
      </c>
      <c r="I73" s="38">
        <f t="shared" si="20"/>
        <v>0.11452113222179139</v>
      </c>
      <c r="J73" s="38">
        <f>(J14/N14)-1</f>
        <v>0.09995028300443631</v>
      </c>
      <c r="K73" s="39">
        <f>(K14/O14)-1</f>
        <v>0.05636297020029302</v>
      </c>
      <c r="L73" s="36">
        <f>(L14/50710)-1</f>
        <v>-0.21390258331690004</v>
      </c>
      <c r="M73" s="36">
        <f>(M14/53631)-1</f>
        <v>-0.038242807331580586</v>
      </c>
      <c r="N73" s="36">
        <f>(N14/65496)-1</f>
        <v>-0.20153902528398682</v>
      </c>
      <c r="O73" s="38">
        <f>(O14/P14)-1</f>
        <v>-0.32482168134903733</v>
      </c>
      <c r="P73" s="38">
        <f>(P14/140609)-1</f>
        <v>-0.48251534396802476</v>
      </c>
    </row>
    <row r="74" spans="1:16" ht="11.25">
      <c r="A74" s="19" t="s">
        <v>65</v>
      </c>
      <c r="B74" s="19"/>
      <c r="C74" s="36">
        <f aca="true" t="shared" si="21" ref="C74:E75">(C16/G16)-1</f>
        <v>0.7514539890976148</v>
      </c>
      <c r="D74" s="36">
        <f t="shared" si="21"/>
        <v>0.026241538480577198</v>
      </c>
      <c r="E74" s="36">
        <f t="shared" si="21"/>
        <v>-0.11546175089223354</v>
      </c>
      <c r="F74" s="37">
        <v>-0.2121668803360519</v>
      </c>
      <c r="G74" s="38">
        <f aca="true" t="shared" si="22" ref="G74:K75">(G16/K16)-1</f>
        <v>-0.39896593933267155</v>
      </c>
      <c r="H74" s="38">
        <f t="shared" si="22"/>
        <v>-0.10569186670650865</v>
      </c>
      <c r="I74" s="38">
        <f t="shared" si="22"/>
        <v>0.6336316533207724</v>
      </c>
      <c r="J74" s="38">
        <f t="shared" si="22"/>
        <v>0.385996748705153</v>
      </c>
      <c r="K74" s="39">
        <f t="shared" si="22"/>
        <v>1.5941074249605056</v>
      </c>
      <c r="L74" s="36">
        <f>L16/64489-1</f>
        <v>1.8022453441672224</v>
      </c>
      <c r="M74" s="36">
        <f>M16/42581-1</f>
        <v>1.243606303280806</v>
      </c>
      <c r="N74" s="36">
        <f>N16/47316-1</f>
        <v>1.2361146335277708</v>
      </c>
      <c r="O74" s="38">
        <f>(O16/P16)-1</f>
        <v>0.19738957722500716</v>
      </c>
      <c r="P74" s="38">
        <f>P16/186363-1</f>
        <v>-0.7163331777230459</v>
      </c>
    </row>
    <row r="75" spans="1:16" ht="11.25">
      <c r="A75" s="19"/>
      <c r="B75" s="19" t="s">
        <v>15</v>
      </c>
      <c r="C75" s="36">
        <f t="shared" si="21"/>
        <v>-0.059611992945326264</v>
      </c>
      <c r="D75" s="36">
        <f t="shared" si="21"/>
        <v>-0.1703360370799536</v>
      </c>
      <c r="E75" s="36">
        <f t="shared" si="21"/>
        <v>-0.9738041002277904</v>
      </c>
      <c r="F75" s="37">
        <v>-0.3547576301615799</v>
      </c>
      <c r="G75" s="38">
        <f t="shared" si="22"/>
        <v>-0.17202102803738317</v>
      </c>
      <c r="H75" s="38">
        <f t="shared" si="22"/>
        <v>-0.23015165031222118</v>
      </c>
      <c r="I75" s="38">
        <f t="shared" si="22"/>
        <v>-0.27954048140043763</v>
      </c>
      <c r="J75" s="38">
        <f t="shared" si="22"/>
        <v>-0.29795815477690946</v>
      </c>
      <c r="K75" s="39">
        <f t="shared" si="22"/>
        <v>-0.2835321196903118</v>
      </c>
      <c r="L75" s="36">
        <f>(L17/4825)-1</f>
        <v>-0.30300518134715027</v>
      </c>
      <c r="M75" s="36">
        <f>(M17/4174)-1</f>
        <v>-0.12410158121705794</v>
      </c>
      <c r="N75" s="36">
        <f>(N17/4764)-1</f>
        <v>-0.16729638958858106</v>
      </c>
      <c r="O75" s="38">
        <f>(O17/P17)-1</f>
        <v>-0.17617652128943284</v>
      </c>
      <c r="P75" s="38">
        <f>(P17/136412)-1</f>
        <v>-0.9574744157405507</v>
      </c>
    </row>
    <row r="76" spans="1:16" ht="11.25">
      <c r="A76" s="19"/>
      <c r="B76" s="19" t="s">
        <v>16</v>
      </c>
      <c r="C76" s="36">
        <f>(C21/G21)-1</f>
        <v>0.7754410123201787</v>
      </c>
      <c r="D76" s="36">
        <f>(D21/H21)-1</f>
        <v>0.029441911649111807</v>
      </c>
      <c r="E76" s="36">
        <f>(E21/I21)-1</f>
        <v>-0.10072669208459606</v>
      </c>
      <c r="F76" s="37">
        <v>-0.2094064326875621</v>
      </c>
      <c r="G76" s="38">
        <f>(G21/K21)-1</f>
        <v>-0.40379890908864746</v>
      </c>
      <c r="H76" s="38">
        <f>(H21/L21)-1</f>
        <v>-0.10333181092861055</v>
      </c>
      <c r="I76" s="38">
        <f>(I21/M21)-1</f>
        <v>0.6699681102319355</v>
      </c>
      <c r="J76" s="38">
        <f>(J21/N21)-1</f>
        <v>0.41263980675000256</v>
      </c>
      <c r="K76" s="39">
        <f>(K21/O21)-1</f>
        <v>1.7474410895234191</v>
      </c>
      <c r="L76" s="36">
        <f>(L21/59663)-1</f>
        <v>1.9725457989038433</v>
      </c>
      <c r="M76" s="36">
        <f>(M21/38407)-1</f>
        <v>1.3922462051188584</v>
      </c>
      <c r="N76" s="36">
        <f>(N21/42553)-1</f>
        <v>1.393180269311212</v>
      </c>
      <c r="O76" s="38">
        <f>(O21/P21)-1</f>
        <v>0.24343447220805703</v>
      </c>
      <c r="P76" s="38">
        <f>(P21/49951)-1</f>
        <v>-0.0577966407078937</v>
      </c>
    </row>
    <row r="77" spans="1:16" ht="11.25">
      <c r="A77" s="19" t="s">
        <v>66</v>
      </c>
      <c r="B77" s="19"/>
      <c r="C77" s="36">
        <f>(C25/G25)-1</f>
        <v>0.07700855650627858</v>
      </c>
      <c r="D77" s="36">
        <f>(D25/H25)-1</f>
        <v>0.08024095016195942</v>
      </c>
      <c r="E77" s="36">
        <f>(E25/I25)-1</f>
        <v>0.10513648371000883</v>
      </c>
      <c r="F77" s="37">
        <v>0.12417318099819608</v>
      </c>
      <c r="G77" s="38">
        <f>(G25/K25)-1</f>
        <v>0.06484439711276768</v>
      </c>
      <c r="H77" s="38">
        <f>(H25/L25)-1</f>
        <v>-0.017860132834737974</v>
      </c>
      <c r="I77" s="38">
        <f>(I25/M25)-1</f>
        <v>-0.02176409785230271</v>
      </c>
      <c r="J77" s="38">
        <f>(J25/N25)-1</f>
        <v>-0.019630961504450872</v>
      </c>
      <c r="K77" s="39">
        <f>(K25/O25)-1</f>
        <v>0.024053317176613076</v>
      </c>
      <c r="L77" s="36">
        <f>(L25/21955)-1</f>
        <v>-0.1839216579366887</v>
      </c>
      <c r="M77" s="36">
        <f>(M25/26547)-1</f>
        <v>-0.34403134064112706</v>
      </c>
      <c r="N77" s="36">
        <f>(N25/31238)-1</f>
        <v>-0.4569754785837762</v>
      </c>
      <c r="O77" s="38">
        <f>(O25/P25)-1</f>
        <v>-0.4592956592956593</v>
      </c>
      <c r="P77" s="38">
        <f>(P25/54665)-1</f>
        <v>-0.4415988292325985</v>
      </c>
    </row>
    <row r="78" spans="1:16" ht="11.25">
      <c r="A78" s="4" t="s">
        <v>67</v>
      </c>
      <c r="B78" s="4"/>
      <c r="C78" s="40">
        <f>(C40/G40)-1</f>
        <v>0.2728102189781021</v>
      </c>
      <c r="D78" s="40">
        <f>(D40/H40)-1</f>
        <v>0.6330935251798562</v>
      </c>
      <c r="E78" s="40">
        <f>(E40/I40)-1</f>
        <v>5.225563909774436</v>
      </c>
      <c r="F78" s="41">
        <v>-3.5625</v>
      </c>
      <c r="G78" s="40">
        <f>(G40/K40)-1</f>
        <v>2.6411960132890364</v>
      </c>
      <c r="H78" s="40">
        <f>(H40/L40)-1</f>
        <v>-0.4726858877086495</v>
      </c>
      <c r="I78" s="40">
        <f>(I40/M40)-1</f>
        <v>-0.8364083640836408</v>
      </c>
      <c r="J78" s="40">
        <f>(J40/N40)-1</f>
        <v>-1.7555555555555555</v>
      </c>
      <c r="K78" s="42">
        <f>(K40/O40)-1</f>
        <v>-0.8353391684901532</v>
      </c>
      <c r="L78" s="40">
        <f>(L40/1423)-1</f>
        <v>-0.07378777231201683</v>
      </c>
      <c r="M78" s="40">
        <f>(M40/1051)-1</f>
        <v>-0.22645099904852517</v>
      </c>
      <c r="N78" s="40">
        <f>(N40/715)-1</f>
        <v>-0.49650349650349646</v>
      </c>
      <c r="O78" s="40">
        <f>(O40/P40)-1</f>
        <v>1.1231126596980254</v>
      </c>
      <c r="P78" s="40">
        <f>(P40/5065)-1</f>
        <v>-0.830009871668312</v>
      </c>
    </row>
    <row r="79" spans="1:16" ht="11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1:16" ht="11.25">
      <c r="A80" s="19"/>
      <c r="B80" s="19" t="s">
        <v>68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ht="11.25">
      <c r="A81" s="19"/>
      <c r="B81" s="13" t="s">
        <v>69</v>
      </c>
      <c r="C81" s="13"/>
      <c r="D81" s="13"/>
      <c r="E81" s="13"/>
      <c r="F81" s="13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11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ht="11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ht="11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11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11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ht="11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ht="11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ht="11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ht="9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9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ht="9">
      <c r="C92" s="3"/>
    </row>
    <row r="93" ht="9">
      <c r="C93" s="3"/>
    </row>
    <row r="94" ht="9">
      <c r="C94" s="3"/>
    </row>
    <row r="95" ht="9">
      <c r="C95" s="3"/>
    </row>
    <row r="96" ht="9">
      <c r="C96" s="3"/>
    </row>
    <row r="97" ht="9">
      <c r="C97" s="3"/>
    </row>
    <row r="98" ht="9">
      <c r="C98" s="3"/>
    </row>
    <row r="99" ht="9">
      <c r="C99" s="3"/>
    </row>
    <row r="100" ht="9">
      <c r="C100" s="3"/>
    </row>
    <row r="101" ht="9">
      <c r="C101" s="3"/>
    </row>
    <row r="102" ht="9">
      <c r="C102" s="3"/>
    </row>
    <row r="103" ht="9">
      <c r="C103" s="3"/>
    </row>
    <row r="104" ht="9">
      <c r="C104" s="3"/>
    </row>
    <row r="105" ht="9">
      <c r="C105" s="3"/>
    </row>
    <row r="106" ht="9">
      <c r="C106" s="3"/>
    </row>
    <row r="107" ht="9">
      <c r="C107" s="3"/>
    </row>
    <row r="108" ht="9">
      <c r="C108" s="3"/>
    </row>
    <row r="109" ht="9">
      <c r="C109" s="3"/>
    </row>
    <row r="110" ht="9">
      <c r="C110" s="3"/>
    </row>
    <row r="111" ht="9">
      <c r="C111" s="3"/>
    </row>
    <row r="112" ht="9">
      <c r="C112" s="3"/>
    </row>
    <row r="113" ht="9">
      <c r="C113" s="3"/>
    </row>
    <row r="114" ht="9">
      <c r="C114" s="3"/>
    </row>
    <row r="115" ht="9">
      <c r="C115" s="3"/>
    </row>
    <row r="116" ht="9">
      <c r="C116" s="3"/>
    </row>
    <row r="117" ht="9">
      <c r="C117" s="3"/>
    </row>
    <row r="118" ht="9">
      <c r="C118" s="3"/>
    </row>
    <row r="119" ht="9">
      <c r="C119" s="3"/>
    </row>
    <row r="120" ht="9">
      <c r="C120" s="3"/>
    </row>
    <row r="121" ht="9">
      <c r="C121" s="3"/>
    </row>
    <row r="122" ht="9">
      <c r="C122" s="3"/>
    </row>
    <row r="123" ht="9">
      <c r="C123" s="3"/>
    </row>
    <row r="124" ht="9">
      <c r="C124" s="3"/>
    </row>
    <row r="125" ht="9">
      <c r="C125" s="3"/>
    </row>
    <row r="126" ht="9">
      <c r="C126" s="3"/>
    </row>
    <row r="127" ht="9">
      <c r="C127" s="3"/>
    </row>
    <row r="128" ht="9">
      <c r="C128" s="3"/>
    </row>
    <row r="129" ht="9">
      <c r="C129" s="3"/>
    </row>
    <row r="130" ht="9">
      <c r="C130" s="3"/>
    </row>
    <row r="131" ht="9">
      <c r="C131" s="3"/>
    </row>
    <row r="132" ht="9">
      <c r="C132" s="3"/>
    </row>
    <row r="133" ht="9">
      <c r="C133" s="3"/>
    </row>
    <row r="134" ht="9">
      <c r="C134" s="3"/>
    </row>
    <row r="135" ht="9">
      <c r="C135" s="3"/>
    </row>
    <row r="136" ht="9">
      <c r="C136" s="3"/>
    </row>
    <row r="137" ht="9">
      <c r="C137" s="3"/>
    </row>
    <row r="138" ht="9">
      <c r="C138" s="3"/>
    </row>
    <row r="139" ht="9">
      <c r="C139" s="3"/>
    </row>
    <row r="140" ht="9">
      <c r="C140" s="3"/>
    </row>
    <row r="141" ht="9">
      <c r="C141" s="3"/>
    </row>
    <row r="142" ht="9">
      <c r="C142" s="3"/>
    </row>
    <row r="143" ht="9">
      <c r="C143" s="3"/>
    </row>
    <row r="144" ht="9">
      <c r="C144" s="3"/>
    </row>
    <row r="145" ht="9">
      <c r="C145" s="3"/>
    </row>
    <row r="146" ht="9">
      <c r="C146" s="3"/>
    </row>
    <row r="147" ht="9">
      <c r="C147" s="3"/>
    </row>
    <row r="148" ht="9">
      <c r="C148" s="3"/>
    </row>
    <row r="149" ht="9">
      <c r="C149" s="3"/>
    </row>
    <row r="150" ht="9">
      <c r="C150" s="3"/>
    </row>
    <row r="151" ht="9">
      <c r="C151" s="3"/>
    </row>
    <row r="152" ht="9">
      <c r="C152" s="3"/>
    </row>
    <row r="153" ht="9">
      <c r="C153" s="3"/>
    </row>
    <row r="154" ht="9">
      <c r="C154" s="3"/>
    </row>
    <row r="155" ht="9">
      <c r="C155" s="3"/>
    </row>
    <row r="156" ht="9">
      <c r="C156" s="3"/>
    </row>
    <row r="157" ht="9">
      <c r="C157" s="3"/>
    </row>
    <row r="158" ht="9">
      <c r="C158" s="3"/>
    </row>
    <row r="159" ht="9">
      <c r="C159" s="3"/>
    </row>
    <row r="160" ht="9">
      <c r="C160" s="3"/>
    </row>
    <row r="161" ht="9">
      <c r="C161" s="3"/>
    </row>
    <row r="162" ht="9">
      <c r="C162" s="3"/>
    </row>
    <row r="163" ht="9">
      <c r="C163" s="3"/>
    </row>
    <row r="164" ht="9">
      <c r="C164" s="3"/>
    </row>
    <row r="165" ht="9">
      <c r="C165" s="3"/>
    </row>
    <row r="166" ht="9">
      <c r="C166" s="3"/>
    </row>
    <row r="167" ht="9">
      <c r="C167" s="3"/>
    </row>
    <row r="168" ht="9">
      <c r="C168" s="3"/>
    </row>
  </sheetData>
  <sheetProtection/>
  <mergeCells count="4">
    <mergeCell ref="C7:F7"/>
    <mergeCell ref="G7:J7"/>
    <mergeCell ref="K7:N7"/>
    <mergeCell ref="O7:P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2017-06-16T17:23:05Z</dcterms:created>
  <dcterms:modified xsi:type="dcterms:W3CDTF">2017-06-16T17:23:08Z</dcterms:modified>
  <cp:category/>
  <cp:version/>
  <cp:contentType/>
  <cp:contentStatus/>
</cp:coreProperties>
</file>