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Agrícola" sheetId="1" r:id="rId1"/>
  </sheets>
  <definedNames/>
  <calcPr fullCalcOnLoad="1"/>
</workbook>
</file>

<file path=xl/sharedStrings.xml><?xml version="1.0" encoding="utf-8"?>
<sst xmlns="http://schemas.openxmlformats.org/spreadsheetml/2006/main" count="91" uniqueCount="69">
  <si>
    <t>CUADRO No. 19-29</t>
  </si>
  <si>
    <t>BANCO AGRICOLA (PANAMA),S.A.(1)</t>
  </si>
  <si>
    <t>ESTADISTICA FINANCIERA. TRIMESTRES 2000, 2001 Y 2002</t>
  </si>
  <si>
    <t xml:space="preserve"> 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</si>
  <si>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</si>
  <si>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</si>
  <si>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</si>
  <si>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</si>
  <si>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</si>
  <si>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</si>
  <si>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</si>
  <si>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</si>
  <si>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</si>
  <si>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</si>
  <si>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</si>
  <si>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</si>
  <si>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</si>
  <si>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</si>
  <si>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</si>
  <si>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</si>
  <si>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</si>
  <si>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</si>
  <si>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</si>
  <si>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</si>
  <si>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</si>
  <si>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</si>
  <si>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</si>
  <si>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</si>
  <si>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</si>
  <si>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</si>
  <si>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</si>
  <si>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</si>
  <si>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</si>
  <si>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</si>
  <si>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</si>
  <si>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</si>
  <si>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</si>
  <si>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</si>
  <si>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Provisiones/Préstamos Vencidos</t>
  </si>
  <si>
    <t>Provisiones Cuentas Malas / Préstamos Totales</t>
  </si>
  <si>
    <t>RAZONES DE CAPITAL</t>
  </si>
  <si>
    <t>Patrimonio / Total de Préstamos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</si>
  <si>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</si>
  <si>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</si>
  <si>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</si>
  <si>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</si>
  <si>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</si>
  <si>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</si>
  <si>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</si>
  <si>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</si>
  <si>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</si>
  <si>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</si>
  <si>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</si>
  <si>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</si>
  <si>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</si>
  <si>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</si>
  <si>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</si>
  <si>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</si>
  <si>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</si>
  <si>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</si>
  <si>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</si>
  <si>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</si>
  <si>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</si>
  <si>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</si>
  <si>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</si>
  <si>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</si>
  <si>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Utilidad Neta</t>
  </si>
  <si>
    <t>Nota:</t>
  </si>
  <si>
    <t>(1) BANCO AGRICOLA COMERCIAL , EL SALVADOR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</si>
</sst>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201" fontId="2" fillId="0" borderId="16" xfId="46" applyNumberFormat="1" applyFont="1" applyBorder="1" applyAlignment="1">
      <alignment/>
    </xf>
    <xf numFmtId="201" fontId="2" fillId="0" borderId="0" xfId="46" applyNumberFormat="1" applyFont="1" applyBorder="1" applyAlignment="1">
      <alignment/>
    </xf>
    <xf numFmtId="201" fontId="2" fillId="0" borderId="0" xfId="46" applyNumberFormat="1" applyFont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7" xfId="46" applyNumberFormat="1" applyFont="1" applyBorder="1" applyAlignment="1">
      <alignment/>
    </xf>
    <xf numFmtId="201" fontId="3" fillId="0" borderId="16" xfId="46" applyNumberFormat="1" applyFont="1" applyBorder="1" applyAlignment="1">
      <alignment/>
    </xf>
    <xf numFmtId="43" fontId="3" fillId="0" borderId="0" xfId="46" applyFont="1" applyAlignment="1">
      <alignment/>
    </xf>
    <xf numFmtId="201" fontId="3" fillId="0" borderId="0" xfId="46" applyNumberFormat="1" applyFont="1" applyFill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8" xfId="46" applyNumberFormat="1" applyFont="1" applyBorder="1" applyAlignment="1">
      <alignment/>
    </xf>
    <xf numFmtId="201" fontId="3" fillId="0" borderId="14" xfId="46" applyNumberFormat="1" applyFont="1" applyBorder="1" applyAlignment="1">
      <alignment/>
    </xf>
    <xf numFmtId="0" fontId="3" fillId="0" borderId="17" xfId="0" applyFont="1" applyBorder="1" applyAlignment="1">
      <alignment/>
    </xf>
    <xf numFmtId="201" fontId="3" fillId="0" borderId="11" xfId="46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43" fontId="3" fillId="0" borderId="0" xfId="46" applyFont="1" applyBorder="1" applyAlignment="1">
      <alignment/>
    </xf>
    <xf numFmtId="43" fontId="3" fillId="0" borderId="17" xfId="46" applyFont="1" applyBorder="1" applyAlignment="1">
      <alignment/>
    </xf>
    <xf numFmtId="10" fontId="3" fillId="0" borderId="0" xfId="52" applyNumberFormat="1" applyFont="1" applyBorder="1" applyAlignment="1">
      <alignment/>
    </xf>
    <xf numFmtId="9" fontId="3" fillId="0" borderId="0" xfId="52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7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8" xfId="52" applyNumberFormat="1" applyFont="1" applyBorder="1" applyAlignment="1">
      <alignment/>
    </xf>
    <xf numFmtId="0" fontId="3" fillId="0" borderId="16" xfId="0" applyFont="1" applyBorder="1" applyAlignment="1">
      <alignment/>
    </xf>
    <xf numFmtId="204" fontId="3" fillId="0" borderId="17" xfId="52" applyNumberFormat="1" applyFont="1" applyBorder="1" applyAlignment="1">
      <alignment/>
    </xf>
    <xf numFmtId="204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204" fontId="3" fillId="0" borderId="18" xfId="52" applyNumberFormat="1" applyFont="1" applyBorder="1" applyAlignment="1">
      <alignment/>
    </xf>
    <xf numFmtId="204" fontId="3" fillId="0" borderId="10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01" fontId="3" fillId="0" borderId="18" xfId="46" applyNumberFormat="1" applyFont="1" applyFill="1" applyBorder="1" applyAlignment="1">
      <alignment/>
    </xf>
    <xf numFmtId="201" fontId="3" fillId="0" borderId="10" xfId="46" applyNumberFormat="1" applyFont="1" applyFill="1" applyBorder="1" applyAlignment="1">
      <alignment/>
    </xf>
    <xf numFmtId="201" fontId="3" fillId="0" borderId="14" xfId="46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"/>
    </sheetView>
  </sheetViews>
  <sheetFormatPr defaultColWidth="11.421875" defaultRowHeight="12.75"/>
  <cols>
    <col min="1" max="1" width="3.421875" style="3" customWidth="1"/>
    <col min="2" max="2" width="28.57421875" style="3" customWidth="1"/>
    <col min="3" max="3" width="8.00390625" style="3" customWidth="1"/>
    <col min="4" max="4" width="8.57421875" style="3" customWidth="1"/>
    <col min="5" max="6" width="7.7109375" style="3" customWidth="1"/>
    <col min="7" max="7" width="7.421875" style="3" customWidth="1"/>
    <col min="8" max="10" width="8.00390625" style="3" bestFit="1" customWidth="1"/>
    <col min="11" max="11" width="8.28125" style="3" customWidth="1"/>
    <col min="12" max="13" width="8.00390625" style="3" bestFit="1" customWidth="1"/>
    <col min="14" max="14" width="8.00390625" style="3" customWidth="1"/>
    <col min="15" max="15" width="6.57421875" style="3" hidden="1" customWidth="1"/>
    <col min="16" max="16" width="6.8515625" style="3" hidden="1" customWidth="1"/>
    <col min="17" max="17" width="11.421875" style="3" customWidth="1"/>
    <col min="18" max="16384" width="11.421875" style="1" customWidth="1"/>
  </cols>
  <sheetData>
    <row r="1" spans="2:16" ht="11.25">
      <c r="B1" s="59"/>
      <c r="C1" s="59"/>
      <c r="D1" s="59"/>
      <c r="E1" s="59"/>
      <c r="F1" s="59"/>
      <c r="G1" s="59"/>
      <c r="H1" s="59" t="s">
        <v>0</v>
      </c>
      <c r="I1" s="59"/>
      <c r="J1" s="59"/>
      <c r="K1" s="59"/>
      <c r="L1" s="59"/>
      <c r="M1" s="59"/>
      <c r="N1" s="59"/>
      <c r="O1" s="59"/>
      <c r="P1" s="59"/>
    </row>
    <row r="2" spans="2:16" ht="11.25">
      <c r="B2" s="59"/>
      <c r="C2" s="59"/>
      <c r="D2" s="59"/>
      <c r="E2" s="59"/>
      <c r="F2" s="59"/>
      <c r="G2" s="59"/>
      <c r="H2" s="59" t="s">
        <v>1</v>
      </c>
      <c r="I2" s="59"/>
      <c r="J2" s="59"/>
      <c r="K2" s="59"/>
      <c r="L2" s="59"/>
      <c r="M2" s="59"/>
      <c r="N2" s="59"/>
      <c r="O2" s="59"/>
      <c r="P2" s="59"/>
    </row>
    <row r="3" spans="2:16" ht="11.25">
      <c r="B3" s="59"/>
      <c r="C3" s="59"/>
      <c r="D3" s="59"/>
      <c r="E3" s="59"/>
      <c r="F3" s="59"/>
      <c r="G3" s="59"/>
      <c r="H3" s="59" t="s">
        <v>2</v>
      </c>
      <c r="I3" s="59"/>
      <c r="J3" s="59"/>
      <c r="K3" s="59"/>
      <c r="L3" s="59"/>
      <c r="M3" s="59"/>
      <c r="N3" s="59"/>
      <c r="O3" s="59"/>
      <c r="P3" s="59"/>
    </row>
    <row r="4" spans="1:16" ht="11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1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11.2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4"/>
      <c r="P6" s="4"/>
    </row>
    <row r="7" spans="1:16" ht="12.75" customHeight="1">
      <c r="A7" s="6"/>
      <c r="B7" s="6"/>
      <c r="C7" s="60">
        <v>2002</v>
      </c>
      <c r="D7" s="60"/>
      <c r="E7" s="60"/>
      <c r="F7" s="61"/>
      <c r="G7" s="60">
        <v>2001</v>
      </c>
      <c r="H7" s="60"/>
      <c r="I7" s="60"/>
      <c r="J7" s="60"/>
      <c r="K7" s="60">
        <v>2000</v>
      </c>
      <c r="L7" s="60"/>
      <c r="M7" s="60"/>
      <c r="N7" s="60"/>
      <c r="O7" s="60" t="s">
        <v>4</v>
      </c>
      <c r="P7" s="60"/>
    </row>
    <row r="8" spans="1:16" ht="11.25">
      <c r="A8" s="7"/>
      <c r="B8" s="7"/>
      <c r="C8" s="8" t="s">
        <v>5</v>
      </c>
      <c r="D8" s="8" t="s">
        <v>6</v>
      </c>
      <c r="E8" s="7" t="s">
        <v>7</v>
      </c>
      <c r="F8" s="9" t="s">
        <v>8</v>
      </c>
      <c r="G8" s="8" t="s">
        <v>5</v>
      </c>
      <c r="H8" s="8" t="s">
        <v>6</v>
      </c>
      <c r="I8" s="7" t="s">
        <v>7</v>
      </c>
      <c r="J8" s="7" t="s">
        <v>8</v>
      </c>
      <c r="K8" s="10" t="s">
        <v>5</v>
      </c>
      <c r="L8" s="7" t="s">
        <v>6</v>
      </c>
      <c r="M8" s="7" t="s">
        <v>7</v>
      </c>
      <c r="N8" s="8" t="s">
        <v>8</v>
      </c>
      <c r="O8" s="11" t="s">
        <v>9</v>
      </c>
      <c r="P8" s="11" t="s">
        <v>10</v>
      </c>
    </row>
    <row r="9" spans="1:16" ht="11.25">
      <c r="A9" s="12" t="s">
        <v>11</v>
      </c>
      <c r="B9" s="12"/>
      <c r="C9" s="12"/>
      <c r="D9" s="12"/>
      <c r="E9" s="13"/>
      <c r="F9" s="14"/>
      <c r="G9" s="12"/>
      <c r="H9" s="12"/>
      <c r="I9" s="12"/>
      <c r="J9" s="12"/>
      <c r="K9" s="15"/>
      <c r="L9" s="16"/>
      <c r="M9" s="16"/>
      <c r="N9" s="16"/>
      <c r="O9" s="17"/>
      <c r="P9" s="17"/>
    </row>
    <row r="10" spans="1:16" ht="11.25">
      <c r="A10" s="3" t="s">
        <v>12</v>
      </c>
      <c r="C10" s="18">
        <v>107956</v>
      </c>
      <c r="D10" s="18">
        <v>118292</v>
      </c>
      <c r="E10" s="19">
        <v>109302</v>
      </c>
      <c r="F10" s="20">
        <v>103346</v>
      </c>
      <c r="G10" s="18">
        <v>103929</v>
      </c>
      <c r="H10" s="18">
        <v>103246</v>
      </c>
      <c r="I10" s="18">
        <v>82492</v>
      </c>
      <c r="J10" s="18">
        <v>73317</v>
      </c>
      <c r="K10" s="21">
        <v>65264</v>
      </c>
      <c r="L10" s="19">
        <v>61398</v>
      </c>
      <c r="M10" s="19">
        <v>71229</v>
      </c>
      <c r="N10" s="19">
        <v>84016</v>
      </c>
      <c r="O10" s="18">
        <v>97695</v>
      </c>
      <c r="P10" s="18">
        <v>82247</v>
      </c>
    </row>
    <row r="11" spans="1:16" ht="11.25">
      <c r="A11" s="3" t="s">
        <v>13</v>
      </c>
      <c r="C11" s="18">
        <v>53465</v>
      </c>
      <c r="D11" s="18">
        <v>64396</v>
      </c>
      <c r="E11" s="19">
        <v>48679</v>
      </c>
      <c r="F11" s="20">
        <v>48534</v>
      </c>
      <c r="G11" s="18">
        <v>103670</v>
      </c>
      <c r="H11" s="18">
        <v>102978</v>
      </c>
      <c r="I11" s="18">
        <v>82217</v>
      </c>
      <c r="J11" s="18">
        <v>73035</v>
      </c>
      <c r="K11" s="21">
        <v>65005</v>
      </c>
      <c r="L11" s="19">
        <v>61130</v>
      </c>
      <c r="M11" s="19">
        <v>4452</v>
      </c>
      <c r="N11" s="19">
        <v>2733</v>
      </c>
      <c r="O11" s="18">
        <v>3579</v>
      </c>
      <c r="P11" s="18">
        <v>14738</v>
      </c>
    </row>
    <row r="12" spans="1:16" ht="11.25">
      <c r="A12" s="3" t="s">
        <v>14</v>
      </c>
      <c r="C12" s="19">
        <f aca="true" t="shared" si="0" ref="C12:P12">C13+C14</f>
        <v>41323</v>
      </c>
      <c r="D12" s="19">
        <f t="shared" si="0"/>
        <v>41588</v>
      </c>
      <c r="E12" s="19">
        <f t="shared" si="0"/>
        <v>48058</v>
      </c>
      <c r="F12" s="20">
        <f t="shared" si="0"/>
        <v>54282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21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8">
        <f t="shared" si="0"/>
        <v>23458</v>
      </c>
      <c r="P12" s="18">
        <f t="shared" si="0"/>
        <v>27358</v>
      </c>
    </row>
    <row r="13" spans="2:16" ht="11.25">
      <c r="B13" s="3" t="s">
        <v>15</v>
      </c>
      <c r="C13" s="19">
        <v>0</v>
      </c>
      <c r="D13" s="19">
        <v>0</v>
      </c>
      <c r="E13" s="19">
        <v>0</v>
      </c>
      <c r="F13" s="20">
        <v>0</v>
      </c>
      <c r="G13" s="22">
        <v>0</v>
      </c>
      <c r="H13" s="22">
        <v>0</v>
      </c>
      <c r="I13" s="18">
        <v>0</v>
      </c>
      <c r="J13" s="18">
        <v>0</v>
      </c>
      <c r="K13" s="21">
        <v>0</v>
      </c>
      <c r="L13" s="19">
        <v>0</v>
      </c>
      <c r="M13" s="19">
        <v>0</v>
      </c>
      <c r="N13" s="19">
        <v>0</v>
      </c>
      <c r="O13" s="18">
        <v>0</v>
      </c>
      <c r="P13" s="18">
        <v>0</v>
      </c>
    </row>
    <row r="14" spans="2:16" ht="11.25">
      <c r="B14" s="3" t="s">
        <v>16</v>
      </c>
      <c r="C14" s="18">
        <v>41323</v>
      </c>
      <c r="D14" s="18">
        <v>41588</v>
      </c>
      <c r="E14" s="19">
        <v>48058</v>
      </c>
      <c r="F14" s="20">
        <v>54282</v>
      </c>
      <c r="G14" s="22">
        <v>0</v>
      </c>
      <c r="H14" s="22">
        <v>0</v>
      </c>
      <c r="I14" s="18">
        <v>0</v>
      </c>
      <c r="J14" s="18">
        <v>0</v>
      </c>
      <c r="K14" s="21">
        <v>0</v>
      </c>
      <c r="L14" s="19">
        <v>0</v>
      </c>
      <c r="M14" s="19">
        <v>0</v>
      </c>
      <c r="N14" s="19">
        <v>0</v>
      </c>
      <c r="O14" s="18">
        <v>23458</v>
      </c>
      <c r="P14" s="18">
        <v>27358</v>
      </c>
    </row>
    <row r="15" spans="1:16" ht="11.25">
      <c r="A15" s="3" t="s">
        <v>17</v>
      </c>
      <c r="C15" s="18">
        <v>11676</v>
      </c>
      <c r="D15" s="18">
        <v>11746</v>
      </c>
      <c r="E15" s="19">
        <v>11815</v>
      </c>
      <c r="F15" s="20">
        <v>0</v>
      </c>
      <c r="G15" s="22">
        <v>0</v>
      </c>
      <c r="H15" s="22">
        <v>0</v>
      </c>
      <c r="I15" s="18">
        <v>0</v>
      </c>
      <c r="J15" s="18">
        <v>0</v>
      </c>
      <c r="K15" s="21">
        <v>0</v>
      </c>
      <c r="L15" s="19">
        <v>4</v>
      </c>
      <c r="M15" s="19">
        <v>4</v>
      </c>
      <c r="N15" s="19">
        <v>4</v>
      </c>
      <c r="O15" s="18">
        <v>4</v>
      </c>
      <c r="P15" s="18">
        <v>425</v>
      </c>
    </row>
    <row r="16" spans="1:16" ht="11.25">
      <c r="A16" s="3" t="s">
        <v>18</v>
      </c>
      <c r="C16" s="19">
        <f aca="true" t="shared" si="1" ref="C16:P16">C17+C21</f>
        <v>99845</v>
      </c>
      <c r="D16" s="19">
        <f t="shared" si="1"/>
        <v>110489</v>
      </c>
      <c r="E16" s="19">
        <f t="shared" si="1"/>
        <v>102146</v>
      </c>
      <c r="F16" s="20">
        <f t="shared" si="1"/>
        <v>96716</v>
      </c>
      <c r="G16" s="18">
        <f t="shared" si="1"/>
        <v>94327</v>
      </c>
      <c r="H16" s="18">
        <f t="shared" si="1"/>
        <v>94419</v>
      </c>
      <c r="I16" s="18">
        <f t="shared" si="1"/>
        <v>74380</v>
      </c>
      <c r="J16" s="18">
        <f t="shared" si="1"/>
        <v>65881</v>
      </c>
      <c r="K16" s="21">
        <f t="shared" si="1"/>
        <v>58035</v>
      </c>
      <c r="L16" s="19">
        <f t="shared" si="1"/>
        <v>54773</v>
      </c>
      <c r="M16" s="19">
        <f t="shared" si="1"/>
        <v>64940</v>
      </c>
      <c r="N16" s="19">
        <f t="shared" si="1"/>
        <v>76775</v>
      </c>
      <c r="O16" s="18">
        <f t="shared" si="1"/>
        <v>90882</v>
      </c>
      <c r="P16" s="18">
        <f t="shared" si="1"/>
        <v>76139</v>
      </c>
    </row>
    <row r="17" spans="2:16" ht="11.25">
      <c r="B17" s="3" t="s">
        <v>15</v>
      </c>
      <c r="C17" s="19">
        <f aca="true" t="shared" si="2" ref="C17:P17">SUM(C18:C20)</f>
        <v>2000</v>
      </c>
      <c r="D17" s="19">
        <f t="shared" si="2"/>
        <v>0</v>
      </c>
      <c r="E17" s="19">
        <f t="shared" si="2"/>
        <v>10000</v>
      </c>
      <c r="F17" s="20">
        <f t="shared" si="2"/>
        <v>5000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21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8">
        <f t="shared" si="2"/>
        <v>0</v>
      </c>
      <c r="P17" s="18">
        <f t="shared" si="2"/>
        <v>0</v>
      </c>
    </row>
    <row r="18" spans="2:16" ht="11.25">
      <c r="B18" s="3" t="s">
        <v>19</v>
      </c>
      <c r="C18" s="19">
        <v>0</v>
      </c>
      <c r="D18" s="19">
        <v>0</v>
      </c>
      <c r="E18" s="19">
        <v>0</v>
      </c>
      <c r="F18" s="20">
        <v>0</v>
      </c>
      <c r="G18" s="18">
        <v>0</v>
      </c>
      <c r="H18" s="18">
        <v>0</v>
      </c>
      <c r="I18" s="18">
        <v>0</v>
      </c>
      <c r="J18" s="23">
        <v>0</v>
      </c>
      <c r="K18" s="21">
        <v>0</v>
      </c>
      <c r="L18" s="19">
        <v>0</v>
      </c>
      <c r="M18" s="19">
        <v>0</v>
      </c>
      <c r="N18" s="19">
        <v>0</v>
      </c>
      <c r="O18" s="18">
        <v>0</v>
      </c>
      <c r="P18" s="18">
        <v>0</v>
      </c>
    </row>
    <row r="19" spans="2:16" ht="11.25">
      <c r="B19" s="3" t="s">
        <v>20</v>
      </c>
      <c r="C19" s="19">
        <v>0</v>
      </c>
      <c r="D19" s="19">
        <v>0</v>
      </c>
      <c r="E19" s="19">
        <v>0</v>
      </c>
      <c r="F19" s="20">
        <v>0</v>
      </c>
      <c r="G19" s="18">
        <v>0</v>
      </c>
      <c r="H19" s="18">
        <v>0</v>
      </c>
      <c r="I19" s="18">
        <v>0</v>
      </c>
      <c r="J19" s="23">
        <v>0</v>
      </c>
      <c r="K19" s="21">
        <v>0</v>
      </c>
      <c r="L19" s="19">
        <v>0</v>
      </c>
      <c r="M19" s="19">
        <v>0</v>
      </c>
      <c r="N19" s="19">
        <v>0</v>
      </c>
      <c r="O19" s="18">
        <v>0</v>
      </c>
      <c r="P19" s="18">
        <v>0</v>
      </c>
    </row>
    <row r="20" spans="2:16" ht="11.25">
      <c r="B20" s="3" t="s">
        <v>21</v>
      </c>
      <c r="C20" s="18">
        <v>2000</v>
      </c>
      <c r="D20" s="18">
        <v>0</v>
      </c>
      <c r="E20" s="18">
        <v>10000</v>
      </c>
      <c r="F20" s="20">
        <v>5000</v>
      </c>
      <c r="G20" s="18">
        <v>0</v>
      </c>
      <c r="H20" s="18">
        <v>0</v>
      </c>
      <c r="I20" s="18">
        <v>0</v>
      </c>
      <c r="J20" s="23">
        <v>0</v>
      </c>
      <c r="K20" s="21">
        <v>0</v>
      </c>
      <c r="L20" s="19">
        <v>0</v>
      </c>
      <c r="M20" s="19">
        <v>0</v>
      </c>
      <c r="N20" s="19">
        <v>0</v>
      </c>
      <c r="O20" s="18">
        <v>0</v>
      </c>
      <c r="P20" s="18">
        <v>0</v>
      </c>
    </row>
    <row r="21" spans="2:16" ht="11.25">
      <c r="B21" s="3" t="s">
        <v>16</v>
      </c>
      <c r="C21" s="19">
        <f>SUM(C22:C24)</f>
        <v>97845</v>
      </c>
      <c r="D21" s="19">
        <f>SUM(D22:D24)</f>
        <v>110489</v>
      </c>
      <c r="E21" s="19">
        <f>SUM(E22:E24)</f>
        <v>92146</v>
      </c>
      <c r="F21" s="20">
        <f>SUM(F22:F24)</f>
        <v>91716</v>
      </c>
      <c r="G21" s="18">
        <f aca="true" t="shared" si="3" ref="G21:P21">SUM(G23:G24)</f>
        <v>94327</v>
      </c>
      <c r="H21" s="18">
        <f t="shared" si="3"/>
        <v>94419</v>
      </c>
      <c r="I21" s="18">
        <f t="shared" si="3"/>
        <v>74380</v>
      </c>
      <c r="J21" s="23">
        <f t="shared" si="3"/>
        <v>65881</v>
      </c>
      <c r="K21" s="21">
        <f t="shared" si="3"/>
        <v>58035</v>
      </c>
      <c r="L21" s="19">
        <f t="shared" si="3"/>
        <v>54773</v>
      </c>
      <c r="M21" s="19">
        <f t="shared" si="3"/>
        <v>64940</v>
      </c>
      <c r="N21" s="19">
        <f t="shared" si="3"/>
        <v>76775</v>
      </c>
      <c r="O21" s="18">
        <f t="shared" si="3"/>
        <v>90882</v>
      </c>
      <c r="P21" s="18">
        <f t="shared" si="3"/>
        <v>76139</v>
      </c>
    </row>
    <row r="22" spans="2:16" ht="11.25">
      <c r="B22" s="3" t="s">
        <v>19</v>
      </c>
      <c r="C22" s="19"/>
      <c r="D22" s="19"/>
      <c r="E22" s="19"/>
      <c r="F22" s="20"/>
      <c r="G22" s="18"/>
      <c r="H22" s="18"/>
      <c r="I22" s="18"/>
      <c r="J22" s="23"/>
      <c r="K22" s="21"/>
      <c r="L22" s="19"/>
      <c r="M22" s="19"/>
      <c r="N22" s="19"/>
      <c r="O22" s="18"/>
      <c r="P22" s="18"/>
    </row>
    <row r="23" spans="2:16" ht="11.25">
      <c r="B23" s="3" t="s">
        <v>20</v>
      </c>
      <c r="C23" s="18">
        <v>74809</v>
      </c>
      <c r="D23" s="18">
        <v>77058</v>
      </c>
      <c r="E23" s="19">
        <v>72910</v>
      </c>
      <c r="F23" s="20">
        <f>537+72049</f>
        <v>72586</v>
      </c>
      <c r="G23" s="18">
        <f>63089+94</f>
        <v>63183</v>
      </c>
      <c r="H23" s="18">
        <f>137+58096</f>
        <v>58233</v>
      </c>
      <c r="I23" s="18">
        <v>45147</v>
      </c>
      <c r="J23" s="23">
        <v>40648</v>
      </c>
      <c r="K23" s="21">
        <f>34+29464</f>
        <v>29498</v>
      </c>
      <c r="L23" s="19">
        <v>30573</v>
      </c>
      <c r="M23" s="19">
        <v>50689</v>
      </c>
      <c r="N23" s="19">
        <v>60801</v>
      </c>
      <c r="O23" s="18">
        <v>71290</v>
      </c>
      <c r="P23" s="18">
        <v>53072</v>
      </c>
    </row>
    <row r="24" spans="2:16" ht="11.25">
      <c r="B24" s="3" t="s">
        <v>21</v>
      </c>
      <c r="C24" s="18">
        <v>23036</v>
      </c>
      <c r="D24" s="18">
        <v>33431</v>
      </c>
      <c r="E24" s="19">
        <v>19236</v>
      </c>
      <c r="F24" s="20">
        <f>12975+6155</f>
        <v>19130</v>
      </c>
      <c r="G24" s="18">
        <f>24986+6158</f>
        <v>31144</v>
      </c>
      <c r="H24" s="18">
        <f>4109+32077</f>
        <v>36186</v>
      </c>
      <c r="I24" s="18">
        <v>29233</v>
      </c>
      <c r="J24" s="18">
        <v>25233</v>
      </c>
      <c r="K24" s="21">
        <f>22395+6142</f>
        <v>28537</v>
      </c>
      <c r="L24" s="19">
        <v>24200</v>
      </c>
      <c r="M24" s="19">
        <v>14251</v>
      </c>
      <c r="N24" s="19">
        <v>15974</v>
      </c>
      <c r="O24" s="18">
        <v>19592</v>
      </c>
      <c r="P24" s="18">
        <v>23067</v>
      </c>
    </row>
    <row r="25" spans="1:16" ht="11.25">
      <c r="A25" s="4" t="s">
        <v>22</v>
      </c>
      <c r="B25" s="4"/>
      <c r="C25" s="24">
        <v>7434</v>
      </c>
      <c r="D25" s="24">
        <v>7320</v>
      </c>
      <c r="E25" s="24">
        <v>6759</v>
      </c>
      <c r="F25" s="25">
        <v>6218</v>
      </c>
      <c r="G25" s="24">
        <v>8847</v>
      </c>
      <c r="H25" s="24">
        <v>7970</v>
      </c>
      <c r="I25" s="24">
        <v>7314</v>
      </c>
      <c r="J25" s="24">
        <v>6887</v>
      </c>
      <c r="K25" s="26">
        <v>6575</v>
      </c>
      <c r="L25" s="24">
        <v>6275</v>
      </c>
      <c r="M25" s="24">
        <v>5966</v>
      </c>
      <c r="N25" s="24">
        <v>5633</v>
      </c>
      <c r="O25" s="24">
        <v>5136</v>
      </c>
      <c r="P25" s="24">
        <v>4887</v>
      </c>
    </row>
    <row r="26" spans="1:16" ht="11.25">
      <c r="A26" s="12" t="s">
        <v>23</v>
      </c>
      <c r="C26" s="6"/>
      <c r="E26" s="19"/>
      <c r="F26" s="27"/>
      <c r="J26" s="18"/>
      <c r="K26" s="21"/>
      <c r="L26" s="19"/>
      <c r="M26" s="19"/>
      <c r="N26" s="19"/>
      <c r="O26" s="18"/>
      <c r="P26" s="18"/>
    </row>
    <row r="27" spans="1:16" ht="11.25">
      <c r="A27" s="3" t="s">
        <v>12</v>
      </c>
      <c r="C27" s="19">
        <f aca="true" t="shared" si="4" ref="C27:I27">(C10+G10)/2</f>
        <v>105942.5</v>
      </c>
      <c r="D27" s="19">
        <f t="shared" si="4"/>
        <v>110769</v>
      </c>
      <c r="E27" s="19">
        <f t="shared" si="4"/>
        <v>95897</v>
      </c>
      <c r="F27" s="20">
        <f t="shared" si="4"/>
        <v>88331.5</v>
      </c>
      <c r="G27" s="18">
        <f t="shared" si="4"/>
        <v>84596.5</v>
      </c>
      <c r="H27" s="18">
        <f t="shared" si="4"/>
        <v>82322</v>
      </c>
      <c r="I27" s="18">
        <f t="shared" si="4"/>
        <v>76860.5</v>
      </c>
      <c r="J27" s="18">
        <f>+(J10+N10)/2</f>
        <v>78666.5</v>
      </c>
      <c r="K27" s="21">
        <f>+(K10+O10)/2</f>
        <v>81479.5</v>
      </c>
      <c r="L27" s="19">
        <f>+(76913+L10)/2</f>
        <v>69155.5</v>
      </c>
      <c r="M27" s="19">
        <f>+(83854+M10)/2</f>
        <v>77541.5</v>
      </c>
      <c r="N27" s="19">
        <f>+(86427+N10)/2</f>
        <v>85221.5</v>
      </c>
      <c r="O27" s="18">
        <f>+(O10+P10)/2</f>
        <v>89971</v>
      </c>
      <c r="P27" s="18">
        <f>+(69568+P10)/2</f>
        <v>75907.5</v>
      </c>
    </row>
    <row r="28" spans="1:16" ht="11.25">
      <c r="A28" s="3" t="s">
        <v>24</v>
      </c>
      <c r="C28" s="19">
        <f aca="true" t="shared" si="5" ref="C28:P28">C29+C30</f>
        <v>26499.5</v>
      </c>
      <c r="D28" s="19">
        <f t="shared" si="5"/>
        <v>26667</v>
      </c>
      <c r="E28" s="19">
        <f t="shared" si="5"/>
        <v>29936.5</v>
      </c>
      <c r="F28" s="20">
        <f t="shared" si="5"/>
        <v>27141</v>
      </c>
      <c r="G28" s="18">
        <f t="shared" si="5"/>
        <v>0</v>
      </c>
      <c r="H28" s="18">
        <f t="shared" si="5"/>
        <v>2</v>
      </c>
      <c r="I28" s="18">
        <f t="shared" si="5"/>
        <v>2</v>
      </c>
      <c r="J28" s="18">
        <f t="shared" si="5"/>
        <v>2</v>
      </c>
      <c r="K28" s="21">
        <f t="shared" si="5"/>
        <v>11731</v>
      </c>
      <c r="L28" s="19">
        <f t="shared" si="5"/>
        <v>19244</v>
      </c>
      <c r="M28" s="19">
        <f t="shared" si="5"/>
        <v>7998</v>
      </c>
      <c r="N28" s="19">
        <f t="shared" si="5"/>
        <v>14047.5</v>
      </c>
      <c r="O28" s="18">
        <f t="shared" si="5"/>
        <v>25622.5</v>
      </c>
      <c r="P28" s="18">
        <f t="shared" si="5"/>
        <v>45546</v>
      </c>
    </row>
    <row r="29" spans="2:16" ht="11.25">
      <c r="B29" s="3" t="s">
        <v>14</v>
      </c>
      <c r="C29" s="19">
        <f aca="true" t="shared" si="6" ref="C29:I29">(C12+G12)/2</f>
        <v>20661.5</v>
      </c>
      <c r="D29" s="19">
        <f t="shared" si="6"/>
        <v>20794</v>
      </c>
      <c r="E29" s="19">
        <f t="shared" si="6"/>
        <v>24029</v>
      </c>
      <c r="F29" s="20">
        <f t="shared" si="6"/>
        <v>27141</v>
      </c>
      <c r="G29" s="18">
        <f t="shared" si="6"/>
        <v>0</v>
      </c>
      <c r="H29" s="18">
        <f t="shared" si="6"/>
        <v>0</v>
      </c>
      <c r="I29" s="18">
        <f t="shared" si="6"/>
        <v>0</v>
      </c>
      <c r="J29" s="18">
        <f>+(J12+N12)/2</f>
        <v>0</v>
      </c>
      <c r="K29" s="21">
        <f>+(K12+O12)/2</f>
        <v>11729</v>
      </c>
      <c r="L29" s="19">
        <f>+(38481+L12)/2</f>
        <v>19240.5</v>
      </c>
      <c r="M29" s="19">
        <f>+(15989+M12)/2</f>
        <v>7994.5</v>
      </c>
      <c r="N29" s="19">
        <f>+(28089+N12)/2</f>
        <v>14044.5</v>
      </c>
      <c r="O29" s="18">
        <f>+(O12+P12)/2</f>
        <v>25408</v>
      </c>
      <c r="P29" s="18">
        <f>+(62853+P12)/2</f>
        <v>45105.5</v>
      </c>
    </row>
    <row r="30" spans="2:16" ht="11.25">
      <c r="B30" s="3" t="s">
        <v>17</v>
      </c>
      <c r="C30" s="19">
        <f aca="true" t="shared" si="7" ref="C30:I30">(C15+G15)/2</f>
        <v>5838</v>
      </c>
      <c r="D30" s="19">
        <f t="shared" si="7"/>
        <v>5873</v>
      </c>
      <c r="E30" s="19">
        <f t="shared" si="7"/>
        <v>5907.5</v>
      </c>
      <c r="F30" s="20">
        <f t="shared" si="7"/>
        <v>0</v>
      </c>
      <c r="G30" s="18">
        <f t="shared" si="7"/>
        <v>0</v>
      </c>
      <c r="H30" s="18">
        <f t="shared" si="7"/>
        <v>2</v>
      </c>
      <c r="I30" s="18">
        <f t="shared" si="7"/>
        <v>2</v>
      </c>
      <c r="J30" s="18">
        <f>+(J15+N15)/2</f>
        <v>2</v>
      </c>
      <c r="K30" s="21">
        <f>+(K15+O15)/2</f>
        <v>2</v>
      </c>
      <c r="L30" s="19">
        <f>+(3+L15)/2</f>
        <v>3.5</v>
      </c>
      <c r="M30" s="19">
        <f>+(3+N15)/2</f>
        <v>3.5</v>
      </c>
      <c r="N30" s="19">
        <f>+(2+N15)/2</f>
        <v>3</v>
      </c>
      <c r="O30" s="18">
        <f>+(O15+P15)/2</f>
        <v>214.5</v>
      </c>
      <c r="P30" s="18">
        <f>+(456+P15)/2</f>
        <v>440.5</v>
      </c>
    </row>
    <row r="31" spans="1:16" ht="11.25">
      <c r="A31" s="4" t="s">
        <v>22</v>
      </c>
      <c r="B31" s="4"/>
      <c r="C31" s="24">
        <f aca="true" t="shared" si="8" ref="C31:I31">(C25+G25)/2</f>
        <v>8140.5</v>
      </c>
      <c r="D31" s="19">
        <f t="shared" si="8"/>
        <v>7645</v>
      </c>
      <c r="E31" s="19">
        <f t="shared" si="8"/>
        <v>7036.5</v>
      </c>
      <c r="F31" s="25">
        <f t="shared" si="8"/>
        <v>6552.5</v>
      </c>
      <c r="G31" s="24">
        <f t="shared" si="8"/>
        <v>7711</v>
      </c>
      <c r="H31" s="24">
        <f t="shared" si="8"/>
        <v>7122.5</v>
      </c>
      <c r="I31" s="24">
        <f t="shared" si="8"/>
        <v>6640</v>
      </c>
      <c r="J31" s="24">
        <f>+(J25+N25)/2</f>
        <v>6260</v>
      </c>
      <c r="K31" s="26">
        <f>+(K25+O25)/2</f>
        <v>5855.5</v>
      </c>
      <c r="L31" s="24">
        <f>+(4683+L25)/2</f>
        <v>5479</v>
      </c>
      <c r="M31" s="24">
        <f>+(4244+M25)/2</f>
        <v>5105</v>
      </c>
      <c r="N31" s="24">
        <f>+(3764+N25)/2</f>
        <v>4698.5</v>
      </c>
      <c r="O31" s="24">
        <f>+(O25+P25)/2</f>
        <v>5011.5</v>
      </c>
      <c r="P31" s="24">
        <f>+(4596+P25)/2</f>
        <v>4741.5</v>
      </c>
    </row>
    <row r="32" spans="1:16" ht="11.25">
      <c r="A32" s="12" t="s">
        <v>25</v>
      </c>
      <c r="D32" s="6"/>
      <c r="E32" s="28"/>
      <c r="F32" s="27"/>
      <c r="K32" s="21"/>
      <c r="L32" s="19"/>
      <c r="M32" s="19"/>
      <c r="N32" s="19"/>
      <c r="O32" s="18"/>
      <c r="P32" s="18"/>
    </row>
    <row r="33" spans="1:16" ht="11.25">
      <c r="A33" s="3" t="s">
        <v>26</v>
      </c>
      <c r="C33" s="18">
        <v>5144</v>
      </c>
      <c r="D33" s="29">
        <v>3584</v>
      </c>
      <c r="E33" s="19">
        <v>1983</v>
      </c>
      <c r="F33" s="20">
        <v>420</v>
      </c>
      <c r="G33" s="18">
        <v>7619</v>
      </c>
      <c r="H33" s="18">
        <v>5322</v>
      </c>
      <c r="I33" s="18">
        <v>3263</v>
      </c>
      <c r="J33" s="18">
        <v>1526</v>
      </c>
      <c r="K33" s="21">
        <v>6404</v>
      </c>
      <c r="L33" s="19">
        <v>5046</v>
      </c>
      <c r="M33" s="19">
        <v>3630</v>
      </c>
      <c r="N33" s="19">
        <v>2090</v>
      </c>
      <c r="O33" s="18">
        <v>7435</v>
      </c>
      <c r="P33" s="18">
        <v>6174</v>
      </c>
    </row>
    <row r="34" spans="1:16" ht="11.25">
      <c r="A34" s="3" t="s">
        <v>27</v>
      </c>
      <c r="C34" s="18">
        <v>3001</v>
      </c>
      <c r="D34" s="29">
        <v>2099</v>
      </c>
      <c r="E34" s="19">
        <v>1168</v>
      </c>
      <c r="F34" s="20">
        <v>192</v>
      </c>
      <c r="G34" s="18">
        <v>5188</v>
      </c>
      <c r="H34" s="18">
        <v>3829</v>
      </c>
      <c r="I34" s="18">
        <v>2458</v>
      </c>
      <c r="J34" s="18">
        <v>1181</v>
      </c>
      <c r="K34" s="21">
        <v>4878</v>
      </c>
      <c r="L34" s="19">
        <v>3859</v>
      </c>
      <c r="M34" s="19">
        <v>2788</v>
      </c>
      <c r="N34" s="19">
        <v>1617</v>
      </c>
      <c r="O34" s="18">
        <v>5499</v>
      </c>
      <c r="P34" s="18">
        <v>4837</v>
      </c>
    </row>
    <row r="35" spans="1:16" ht="11.25">
      <c r="A35" s="3" t="s">
        <v>28</v>
      </c>
      <c r="C35" s="18">
        <f>+C33-C34</f>
        <v>2143</v>
      </c>
      <c r="D35" s="19">
        <f>+D33-D34</f>
        <v>1485</v>
      </c>
      <c r="E35" s="19">
        <f>+E33-E34</f>
        <v>815</v>
      </c>
      <c r="F35" s="20">
        <f>+F33-F34</f>
        <v>228</v>
      </c>
      <c r="G35" s="18">
        <f>+G33-G34</f>
        <v>2431</v>
      </c>
      <c r="H35" s="18">
        <f aca="true" t="shared" si="9" ref="H35:P35">H33-H34</f>
        <v>1493</v>
      </c>
      <c r="I35" s="18">
        <f t="shared" si="9"/>
        <v>805</v>
      </c>
      <c r="J35" s="18">
        <f t="shared" si="9"/>
        <v>345</v>
      </c>
      <c r="K35" s="21">
        <f t="shared" si="9"/>
        <v>1526</v>
      </c>
      <c r="L35" s="19">
        <f t="shared" si="9"/>
        <v>1187</v>
      </c>
      <c r="M35" s="19">
        <f t="shared" si="9"/>
        <v>842</v>
      </c>
      <c r="N35" s="19">
        <f t="shared" si="9"/>
        <v>473</v>
      </c>
      <c r="O35" s="18">
        <f t="shared" si="9"/>
        <v>1936</v>
      </c>
      <c r="P35" s="18">
        <f t="shared" si="9"/>
        <v>1337</v>
      </c>
    </row>
    <row r="36" spans="1:16" ht="11.25">
      <c r="A36" s="3" t="s">
        <v>29</v>
      </c>
      <c r="C36" s="18">
        <v>2</v>
      </c>
      <c r="D36" s="5">
        <v>2</v>
      </c>
      <c r="E36" s="19">
        <v>0.913</v>
      </c>
      <c r="F36" s="20">
        <v>0</v>
      </c>
      <c r="G36" s="18">
        <v>2</v>
      </c>
      <c r="H36" s="18">
        <v>2</v>
      </c>
      <c r="I36" s="18">
        <v>0</v>
      </c>
      <c r="J36" s="18">
        <v>0</v>
      </c>
      <c r="K36" s="21">
        <v>56</v>
      </c>
      <c r="L36" s="19">
        <v>56</v>
      </c>
      <c r="M36" s="19">
        <v>56</v>
      </c>
      <c r="N36" s="19">
        <v>56</v>
      </c>
      <c r="O36" s="18">
        <v>49</v>
      </c>
      <c r="P36" s="18">
        <v>2</v>
      </c>
    </row>
    <row r="37" spans="1:16" ht="11.25">
      <c r="A37" s="3" t="s">
        <v>30</v>
      </c>
      <c r="C37" s="18">
        <f>+C36+C35</f>
        <v>2145</v>
      </c>
      <c r="D37" s="19">
        <f>+D36+D35</f>
        <v>1487</v>
      </c>
      <c r="E37" s="19">
        <f>+E36+E35</f>
        <v>815.913</v>
      </c>
      <c r="F37" s="20">
        <f>+F35+F36</f>
        <v>228</v>
      </c>
      <c r="G37" s="18">
        <f>+G36+G35</f>
        <v>2433</v>
      </c>
      <c r="H37" s="18">
        <f aca="true" t="shared" si="10" ref="H37:P37">H35+H36</f>
        <v>1495</v>
      </c>
      <c r="I37" s="18">
        <f t="shared" si="10"/>
        <v>805</v>
      </c>
      <c r="J37" s="18">
        <f t="shared" si="10"/>
        <v>345</v>
      </c>
      <c r="K37" s="21">
        <f t="shared" si="10"/>
        <v>1582</v>
      </c>
      <c r="L37" s="19">
        <f t="shared" si="10"/>
        <v>1243</v>
      </c>
      <c r="M37" s="19">
        <f t="shared" si="10"/>
        <v>898</v>
      </c>
      <c r="N37" s="19">
        <f t="shared" si="10"/>
        <v>529</v>
      </c>
      <c r="O37" s="18">
        <f t="shared" si="10"/>
        <v>1985</v>
      </c>
      <c r="P37" s="18">
        <f t="shared" si="10"/>
        <v>1339</v>
      </c>
    </row>
    <row r="38" spans="1:16" ht="11.25">
      <c r="A38" s="3" t="s">
        <v>31</v>
      </c>
      <c r="C38" s="18">
        <v>298</v>
      </c>
      <c r="D38" s="5">
        <v>167</v>
      </c>
      <c r="E38" s="19">
        <v>57</v>
      </c>
      <c r="F38" s="20">
        <v>10</v>
      </c>
      <c r="G38" s="18">
        <v>162</v>
      </c>
      <c r="H38" s="18">
        <v>100</v>
      </c>
      <c r="I38" s="18">
        <v>67</v>
      </c>
      <c r="J38" s="18">
        <v>33</v>
      </c>
      <c r="K38" s="21">
        <v>143</v>
      </c>
      <c r="L38" s="19">
        <v>104</v>
      </c>
      <c r="M38" s="19">
        <v>69</v>
      </c>
      <c r="N38" s="19">
        <v>33</v>
      </c>
      <c r="O38" s="18">
        <v>147</v>
      </c>
      <c r="P38" s="18">
        <v>144</v>
      </c>
    </row>
    <row r="39" spans="1:16" ht="11.25">
      <c r="A39" s="3" t="s">
        <v>32</v>
      </c>
      <c r="C39" s="18">
        <f>+C37-C38</f>
        <v>1847</v>
      </c>
      <c r="D39" s="19">
        <f>+D37-D38</f>
        <v>1320</v>
      </c>
      <c r="E39" s="19">
        <f>+E37-E38</f>
        <v>758.913</v>
      </c>
      <c r="F39" s="20">
        <f>+F37-F38</f>
        <v>218</v>
      </c>
      <c r="G39" s="18">
        <f>+G37-G38</f>
        <v>2271</v>
      </c>
      <c r="H39" s="18">
        <f aca="true" t="shared" si="11" ref="H39:P39">H37-H38</f>
        <v>1395</v>
      </c>
      <c r="I39" s="18">
        <f t="shared" si="11"/>
        <v>738</v>
      </c>
      <c r="J39" s="18">
        <f t="shared" si="11"/>
        <v>312</v>
      </c>
      <c r="K39" s="21">
        <f t="shared" si="11"/>
        <v>1439</v>
      </c>
      <c r="L39" s="19">
        <f t="shared" si="11"/>
        <v>1139</v>
      </c>
      <c r="M39" s="19">
        <f t="shared" si="11"/>
        <v>829</v>
      </c>
      <c r="N39" s="19">
        <f t="shared" si="11"/>
        <v>496</v>
      </c>
      <c r="O39" s="18">
        <f t="shared" si="11"/>
        <v>1838</v>
      </c>
      <c r="P39" s="18">
        <f t="shared" si="11"/>
        <v>1195</v>
      </c>
    </row>
    <row r="40" spans="1:16" ht="11.25">
      <c r="A40" s="4" t="s">
        <v>33</v>
      </c>
      <c r="B40" s="4"/>
      <c r="C40" s="24">
        <f>+C39-413</f>
        <v>1434</v>
      </c>
      <c r="D40" s="30">
        <v>1320</v>
      </c>
      <c r="E40" s="24">
        <f>+E39</f>
        <v>758.913</v>
      </c>
      <c r="F40" s="25">
        <v>218</v>
      </c>
      <c r="G40" s="24">
        <v>2271</v>
      </c>
      <c r="H40" s="24">
        <v>1395</v>
      </c>
      <c r="I40" s="24">
        <v>738</v>
      </c>
      <c r="J40" s="24">
        <v>312</v>
      </c>
      <c r="K40" s="26">
        <v>1439</v>
      </c>
      <c r="L40" s="24">
        <v>1139</v>
      </c>
      <c r="M40" s="24">
        <v>829</v>
      </c>
      <c r="N40" s="24">
        <v>496</v>
      </c>
      <c r="O40" s="24">
        <v>1789</v>
      </c>
      <c r="P40" s="24">
        <v>1139</v>
      </c>
    </row>
    <row r="41" spans="1:16" ht="11.25">
      <c r="A41" s="31" t="s">
        <v>34</v>
      </c>
      <c r="B41" s="6"/>
      <c r="C41" s="5"/>
      <c r="E41" s="19"/>
      <c r="F41" s="32"/>
      <c r="G41" s="6"/>
      <c r="H41" s="6"/>
      <c r="I41" s="18"/>
      <c r="J41" s="6"/>
      <c r="K41" s="33"/>
      <c r="L41" s="6"/>
      <c r="M41" s="6"/>
      <c r="N41" s="5"/>
      <c r="O41" s="6"/>
      <c r="P41" s="6"/>
    </row>
    <row r="42" spans="1:16" ht="11.25">
      <c r="A42" s="5" t="s">
        <v>35</v>
      </c>
      <c r="B42" s="5"/>
      <c r="C42" s="34">
        <v>0</v>
      </c>
      <c r="D42" s="34">
        <v>0</v>
      </c>
      <c r="E42" s="34">
        <v>0</v>
      </c>
      <c r="F42" s="35">
        <v>0</v>
      </c>
      <c r="G42" s="34">
        <v>0</v>
      </c>
      <c r="H42" s="34">
        <v>0</v>
      </c>
      <c r="I42" s="18">
        <v>0</v>
      </c>
      <c r="J42" s="19">
        <v>0</v>
      </c>
      <c r="K42" s="21">
        <v>0</v>
      </c>
      <c r="L42" s="19">
        <v>0</v>
      </c>
      <c r="M42" s="19">
        <v>0</v>
      </c>
      <c r="N42" s="19">
        <v>0</v>
      </c>
      <c r="O42" s="19">
        <v>500</v>
      </c>
      <c r="P42" s="19">
        <v>0</v>
      </c>
    </row>
    <row r="43" spans="1:16" ht="11.25">
      <c r="A43" s="5" t="s">
        <v>36</v>
      </c>
      <c r="B43" s="5"/>
      <c r="C43" s="19">
        <v>413</v>
      </c>
      <c r="D43" s="34">
        <v>0</v>
      </c>
      <c r="E43" s="34">
        <v>0</v>
      </c>
      <c r="F43" s="35">
        <v>0</v>
      </c>
      <c r="G43" s="34">
        <v>0</v>
      </c>
      <c r="H43" s="34">
        <v>0</v>
      </c>
      <c r="I43" s="18">
        <v>0</v>
      </c>
      <c r="J43" s="19">
        <v>0</v>
      </c>
      <c r="K43" s="21">
        <v>0</v>
      </c>
      <c r="L43" s="19">
        <v>0</v>
      </c>
      <c r="M43" s="19">
        <v>0</v>
      </c>
      <c r="N43" s="19">
        <v>0</v>
      </c>
      <c r="O43" s="19">
        <v>56</v>
      </c>
      <c r="P43" s="19">
        <v>55</v>
      </c>
    </row>
    <row r="44" spans="1:16" ht="11.25">
      <c r="A44" s="5" t="s">
        <v>37</v>
      </c>
      <c r="B44" s="5"/>
      <c r="C44" s="19">
        <v>0</v>
      </c>
      <c r="D44" s="19">
        <v>0</v>
      </c>
      <c r="E44" s="19">
        <v>0</v>
      </c>
      <c r="F44" s="20">
        <v>0</v>
      </c>
      <c r="G44" s="19">
        <v>0</v>
      </c>
      <c r="H44" s="19">
        <v>0</v>
      </c>
      <c r="I44" s="19">
        <v>0</v>
      </c>
      <c r="J44" s="19">
        <v>0</v>
      </c>
      <c r="K44" s="21">
        <v>0</v>
      </c>
      <c r="L44" s="19">
        <v>0</v>
      </c>
      <c r="M44" s="19">
        <v>0</v>
      </c>
      <c r="N44" s="19">
        <v>0</v>
      </c>
      <c r="O44" s="36">
        <f>+O42/O12</f>
        <v>0.021314690084406174</v>
      </c>
      <c r="P44" s="37">
        <f>+P42/P12</f>
        <v>0</v>
      </c>
    </row>
    <row r="45" spans="1:16" ht="11.25">
      <c r="A45" s="5" t="s">
        <v>38</v>
      </c>
      <c r="B45" s="5"/>
      <c r="C45" s="19">
        <v>0</v>
      </c>
      <c r="D45" s="19">
        <v>0</v>
      </c>
      <c r="E45" s="19">
        <v>0</v>
      </c>
      <c r="F45" s="20">
        <v>0</v>
      </c>
      <c r="G45" s="19">
        <v>0</v>
      </c>
      <c r="H45" s="19">
        <v>0</v>
      </c>
      <c r="I45" s="19">
        <v>0</v>
      </c>
      <c r="J45" s="19">
        <v>0</v>
      </c>
      <c r="K45" s="21">
        <v>0</v>
      </c>
      <c r="L45" s="19">
        <v>0</v>
      </c>
      <c r="M45" s="19">
        <v>0</v>
      </c>
      <c r="N45" s="19">
        <v>0</v>
      </c>
      <c r="O45" s="36">
        <f>+O43/O42</f>
        <v>0.112</v>
      </c>
      <c r="P45" s="36">
        <v>0</v>
      </c>
    </row>
    <row r="46" spans="1:16" ht="11.25">
      <c r="A46" s="4" t="s">
        <v>39</v>
      </c>
      <c r="B46" s="4"/>
      <c r="C46" s="38">
        <f>C43/C12</f>
        <v>0.009994434092394066</v>
      </c>
      <c r="D46" s="24">
        <v>0</v>
      </c>
      <c r="E46" s="24">
        <v>0</v>
      </c>
      <c r="F46" s="25">
        <v>0</v>
      </c>
      <c r="G46" s="24">
        <v>0</v>
      </c>
      <c r="H46" s="24">
        <v>0</v>
      </c>
      <c r="I46" s="24">
        <v>0</v>
      </c>
      <c r="J46" s="24">
        <v>0</v>
      </c>
      <c r="K46" s="26">
        <v>0</v>
      </c>
      <c r="L46" s="24">
        <v>0</v>
      </c>
      <c r="M46" s="24">
        <v>0</v>
      </c>
      <c r="N46" s="24">
        <v>0</v>
      </c>
      <c r="O46" s="38">
        <f>+O43/O12</f>
        <v>0.002387245289453491</v>
      </c>
      <c r="P46" s="38">
        <f>+P43/P12</f>
        <v>0.002010380875795014</v>
      </c>
    </row>
    <row r="47" spans="1:14" ht="11.25">
      <c r="A47" s="12" t="s">
        <v>40</v>
      </c>
      <c r="E47" s="19"/>
      <c r="F47" s="32"/>
      <c r="I47" s="6"/>
      <c r="J47" s="32"/>
      <c r="K47" s="5"/>
      <c r="L47" s="5"/>
      <c r="M47" s="5"/>
      <c r="N47" s="5"/>
    </row>
    <row r="48" spans="1:16" ht="11.25">
      <c r="A48" s="3" t="s">
        <v>41</v>
      </c>
      <c r="C48" s="36">
        <f>+C25/C12</f>
        <v>0.17989981366309318</v>
      </c>
      <c r="D48" s="36">
        <f>+D25/D12</f>
        <v>0.17601231124362796</v>
      </c>
      <c r="E48" s="36">
        <f>+E25/E12</f>
        <v>0.14064255691039992</v>
      </c>
      <c r="F48" s="39">
        <v>0</v>
      </c>
      <c r="G48" s="40">
        <v>0</v>
      </c>
      <c r="H48" s="40">
        <v>0</v>
      </c>
      <c r="I48" s="36">
        <v>0</v>
      </c>
      <c r="J48" s="39">
        <v>0</v>
      </c>
      <c r="K48" s="40">
        <v>0</v>
      </c>
      <c r="L48" s="40">
        <v>0</v>
      </c>
      <c r="M48" s="40">
        <v>0</v>
      </c>
      <c r="N48" s="36">
        <v>0</v>
      </c>
      <c r="O48" s="40">
        <f>+O25/O12</f>
        <v>0.2189444965470202</v>
      </c>
      <c r="P48" s="40">
        <f>+P25/P12</f>
        <v>0.178631478909277</v>
      </c>
    </row>
    <row r="49" spans="1:16" ht="11.25">
      <c r="A49" s="4" t="s">
        <v>42</v>
      </c>
      <c r="B49" s="4"/>
      <c r="C49" s="38">
        <f>C25/(C12+C15)</f>
        <v>0.14026679748674503</v>
      </c>
      <c r="D49" s="38">
        <f>D25/(D12+D15)</f>
        <v>0.13724828439644504</v>
      </c>
      <c r="E49" s="38">
        <f>E25/(E12+E15)</f>
        <v>0.11288894827384631</v>
      </c>
      <c r="F49" s="41">
        <v>0</v>
      </c>
      <c r="G49" s="38">
        <v>0</v>
      </c>
      <c r="H49" s="38">
        <v>0</v>
      </c>
      <c r="I49" s="38">
        <v>0</v>
      </c>
      <c r="J49" s="41">
        <v>0</v>
      </c>
      <c r="K49" s="38">
        <v>0</v>
      </c>
      <c r="L49" s="38">
        <v>0</v>
      </c>
      <c r="M49" s="38">
        <v>0</v>
      </c>
      <c r="N49" s="38">
        <v>0</v>
      </c>
      <c r="O49" s="38">
        <f>+O25/(O12+O15)</f>
        <v>0.21890716903929758</v>
      </c>
      <c r="P49" s="38">
        <f>+P25/(P12+P15)</f>
        <v>0.17589893100097181</v>
      </c>
    </row>
    <row r="50" spans="1:14" ht="11.25">
      <c r="A50" s="12" t="s">
        <v>43</v>
      </c>
      <c r="C50" s="19"/>
      <c r="D50" s="19"/>
      <c r="E50" s="19"/>
      <c r="F50" s="27"/>
      <c r="K50" s="42"/>
      <c r="L50" s="5"/>
      <c r="M50" s="5"/>
      <c r="N50" s="5"/>
    </row>
    <row r="51" spans="1:16" ht="11.25">
      <c r="A51" s="3" t="s">
        <v>44</v>
      </c>
      <c r="C51" s="36">
        <f aca="true" t="shared" si="12" ref="C51:P51">C11/C16</f>
        <v>0.5354799939906856</v>
      </c>
      <c r="D51" s="36">
        <f t="shared" si="12"/>
        <v>0.5828272497714705</v>
      </c>
      <c r="E51" s="36">
        <f t="shared" si="12"/>
        <v>0.4765629589019639</v>
      </c>
      <c r="F51" s="43">
        <f t="shared" si="12"/>
        <v>0.5018197609495844</v>
      </c>
      <c r="G51" s="44">
        <f t="shared" si="12"/>
        <v>1.0990490527632597</v>
      </c>
      <c r="H51" s="44">
        <f t="shared" si="12"/>
        <v>1.090649127823849</v>
      </c>
      <c r="I51" s="44">
        <f t="shared" si="12"/>
        <v>1.1053643452541007</v>
      </c>
      <c r="J51" s="40">
        <f t="shared" si="12"/>
        <v>1.108589729967669</v>
      </c>
      <c r="K51" s="45">
        <f t="shared" si="12"/>
        <v>1.1200999396915654</v>
      </c>
      <c r="L51" s="36">
        <f t="shared" si="12"/>
        <v>1.1160608328921184</v>
      </c>
      <c r="M51" s="36">
        <f t="shared" si="12"/>
        <v>0.06855558977517709</v>
      </c>
      <c r="N51" s="36">
        <f t="shared" si="12"/>
        <v>0.03559752523607945</v>
      </c>
      <c r="O51" s="40">
        <f t="shared" si="12"/>
        <v>0.03938073545916683</v>
      </c>
      <c r="P51" s="40">
        <f t="shared" si="12"/>
        <v>0.1935670287237815</v>
      </c>
    </row>
    <row r="52" spans="1:16" ht="11.25">
      <c r="A52" s="3" t="s">
        <v>45</v>
      </c>
      <c r="C52" s="36">
        <f aca="true" t="shared" si="13" ref="C52:P52">C11/C10</f>
        <v>0.4952480640260847</v>
      </c>
      <c r="D52" s="36">
        <f t="shared" si="13"/>
        <v>0.5443816995232137</v>
      </c>
      <c r="E52" s="36">
        <f t="shared" si="13"/>
        <v>0.445362390441163</v>
      </c>
      <c r="F52" s="43">
        <f t="shared" si="13"/>
        <v>0.46962630387242854</v>
      </c>
      <c r="G52" s="44">
        <f t="shared" si="13"/>
        <v>0.9975079140567118</v>
      </c>
      <c r="H52" s="44">
        <f t="shared" si="13"/>
        <v>0.9974042577920694</v>
      </c>
      <c r="I52" s="44">
        <f t="shared" si="13"/>
        <v>0.9966663434029966</v>
      </c>
      <c r="J52" s="40">
        <f t="shared" si="13"/>
        <v>0.9961536887761365</v>
      </c>
      <c r="K52" s="45">
        <f t="shared" si="13"/>
        <v>0.9960315028193185</v>
      </c>
      <c r="L52" s="36">
        <f t="shared" si="13"/>
        <v>0.9956350369718884</v>
      </c>
      <c r="M52" s="36">
        <f t="shared" si="13"/>
        <v>0.0625026323547993</v>
      </c>
      <c r="N52" s="36">
        <f t="shared" si="13"/>
        <v>0.032529518187011996</v>
      </c>
      <c r="O52" s="40">
        <f t="shared" si="13"/>
        <v>0.03663442346077077</v>
      </c>
      <c r="P52" s="40">
        <f t="shared" si="13"/>
        <v>0.17919194621080403</v>
      </c>
    </row>
    <row r="53" spans="1:16" ht="11.25">
      <c r="A53" s="4" t="s">
        <v>46</v>
      </c>
      <c r="B53" s="4"/>
      <c r="C53" s="38">
        <f aca="true" t="shared" si="14" ref="C53:P53">(C11+C15)/C16</f>
        <v>0.6524212529420602</v>
      </c>
      <c r="D53" s="38">
        <f t="shared" si="14"/>
        <v>0.6891364751242205</v>
      </c>
      <c r="E53" s="38">
        <f t="shared" si="14"/>
        <v>0.5922307285649953</v>
      </c>
      <c r="F53" s="46">
        <f t="shared" si="14"/>
        <v>0.5018197609495844</v>
      </c>
      <c r="G53" s="47">
        <f t="shared" si="14"/>
        <v>1.0990490527632597</v>
      </c>
      <c r="H53" s="47">
        <f t="shared" si="14"/>
        <v>1.090649127823849</v>
      </c>
      <c r="I53" s="47">
        <f t="shared" si="14"/>
        <v>1.1053643452541007</v>
      </c>
      <c r="J53" s="38">
        <f t="shared" si="14"/>
        <v>1.108589729967669</v>
      </c>
      <c r="K53" s="48">
        <f t="shared" si="14"/>
        <v>1.1200999396915654</v>
      </c>
      <c r="L53" s="38">
        <f t="shared" si="14"/>
        <v>1.1161338615741332</v>
      </c>
      <c r="M53" s="38">
        <f t="shared" si="14"/>
        <v>0.06861718509393286</v>
      </c>
      <c r="N53" s="38">
        <f t="shared" si="14"/>
        <v>0.0356496255291436</v>
      </c>
      <c r="O53" s="38">
        <f t="shared" si="14"/>
        <v>0.03942474857507537</v>
      </c>
      <c r="P53" s="38">
        <f t="shared" si="14"/>
        <v>0.19914892499244802</v>
      </c>
    </row>
    <row r="54" spans="1:14" ht="11.25">
      <c r="A54" s="12" t="s">
        <v>47</v>
      </c>
      <c r="D54" s="19"/>
      <c r="E54" s="19"/>
      <c r="F54" s="27"/>
      <c r="K54" s="42"/>
      <c r="L54" s="5"/>
      <c r="M54" s="5"/>
      <c r="N54" s="5"/>
    </row>
    <row r="55" spans="1:16" ht="11.25">
      <c r="A55" s="3" t="s">
        <v>48</v>
      </c>
      <c r="B55" s="5"/>
      <c r="C55" s="49">
        <f>C40/C28</f>
        <v>0.054114228570350385</v>
      </c>
      <c r="D55" s="36">
        <f>(D40/0.75)/D28</f>
        <v>0.06599917501031237</v>
      </c>
      <c r="E55" s="36">
        <f>(E40/0.5)/E28</f>
        <v>0.05070151821355202</v>
      </c>
      <c r="F55" s="39">
        <v>0</v>
      </c>
      <c r="G55" s="50" t="e">
        <f>G40/G28</f>
        <v>#DIV/0!</v>
      </c>
      <c r="H55" s="49">
        <v>0</v>
      </c>
      <c r="I55" s="40">
        <v>0</v>
      </c>
      <c r="J55" s="40">
        <v>0</v>
      </c>
      <c r="K55" s="50">
        <f>K40/K28</f>
        <v>0.12266643934873413</v>
      </c>
      <c r="L55" s="49">
        <f>(L40/0.75)/L28</f>
        <v>0.07891637220259129</v>
      </c>
      <c r="M55" s="49">
        <f>(M40/0.5)/M28</f>
        <v>0.20730182545636408</v>
      </c>
      <c r="N55" s="36">
        <f>((N40)/0.25)/N28</f>
        <v>0.1412350952126713</v>
      </c>
      <c r="O55" s="40">
        <f>O40/O28</f>
        <v>0.0698214459947312</v>
      </c>
      <c r="P55" s="40">
        <f>P40/P28</f>
        <v>0.02500768453870812</v>
      </c>
    </row>
    <row r="56" spans="1:16" ht="11.25">
      <c r="A56" s="3" t="s">
        <v>49</v>
      </c>
      <c r="B56" s="5"/>
      <c r="C56" s="49">
        <f>C40/C27</f>
        <v>0.013535644335370602</v>
      </c>
      <c r="D56" s="36">
        <f>(D40/0.75)/D27</f>
        <v>0.015888921990809702</v>
      </c>
      <c r="E56" s="36">
        <f>(E40/0.5)/E27</f>
        <v>0.015827669270154436</v>
      </c>
      <c r="F56" s="39">
        <f>((F40)/0.25)/F27</f>
        <v>0.009871903001760414</v>
      </c>
      <c r="G56" s="50">
        <f>G40/G27</f>
        <v>0.02684508224335522</v>
      </c>
      <c r="H56" s="49">
        <f>(H40/0.75)/H27</f>
        <v>0.022594203250649886</v>
      </c>
      <c r="I56" s="40">
        <f>(I40/0.5)/I27</f>
        <v>0.01920362214661627</v>
      </c>
      <c r="J56" s="40">
        <f>((J40)/0.25)/J27</f>
        <v>0.01586444039076354</v>
      </c>
      <c r="K56" s="50">
        <f>K40/K27</f>
        <v>0.01766088402604336</v>
      </c>
      <c r="L56" s="49">
        <f>(L40/0.75)/L27</f>
        <v>0.021960171883171502</v>
      </c>
      <c r="M56" s="49">
        <f>(M40/0.5)/M27</f>
        <v>0.021382098618159307</v>
      </c>
      <c r="N56" s="36">
        <f>((N40)/0.25)/N27</f>
        <v>0.023280510199890872</v>
      </c>
      <c r="O56" s="40">
        <f>O40/O27</f>
        <v>0.01988418490402463</v>
      </c>
      <c r="P56" s="40">
        <f>P40/P27</f>
        <v>0.01500510489740803</v>
      </c>
    </row>
    <row r="57" spans="1:16" ht="11.25">
      <c r="A57" s="3" t="s">
        <v>50</v>
      </c>
      <c r="B57" s="5"/>
      <c r="C57" s="49">
        <f>+C40/C31</f>
        <v>0.1761562557582458</v>
      </c>
      <c r="D57" s="36">
        <f>(D40/0.75)/D31</f>
        <v>0.2302158273381295</v>
      </c>
      <c r="E57" s="36">
        <f>(E40/0.5)/E31</f>
        <v>0.2157075250479642</v>
      </c>
      <c r="F57" s="39">
        <f>((F40)/0.25)/F31</f>
        <v>0.1330789774895078</v>
      </c>
      <c r="G57" s="50">
        <f>+G40/G31</f>
        <v>0.29451433017766826</v>
      </c>
      <c r="H57" s="49">
        <f>(H40/0.75)/H31</f>
        <v>0.26114426114426115</v>
      </c>
      <c r="I57" s="40">
        <f>(I40/0.5)/I31</f>
        <v>0.22228915662650603</v>
      </c>
      <c r="J57" s="40">
        <f>((J40)/0.25)/J31</f>
        <v>0.19936102236421724</v>
      </c>
      <c r="K57" s="50">
        <f>+K40/K31</f>
        <v>0.24575185722824694</v>
      </c>
      <c r="L57" s="49">
        <f>(L40/0.75)/L31</f>
        <v>0.27717953397821987</v>
      </c>
      <c r="M57" s="49">
        <f>(M40/0.5)/M31</f>
        <v>0.3247796278158668</v>
      </c>
      <c r="N57" s="36">
        <f>((N40)/0.25)/N31</f>
        <v>0.42226242417792914</v>
      </c>
      <c r="O57" s="40">
        <f>O40/O31</f>
        <v>0.35697894841863714</v>
      </c>
      <c r="P57" s="40">
        <f>P40/P31</f>
        <v>0.24021933987134872</v>
      </c>
    </row>
    <row r="58" spans="1:16" ht="11.25">
      <c r="A58" s="3" t="s">
        <v>51</v>
      </c>
      <c r="B58" s="5"/>
      <c r="C58" s="49">
        <f>C33/C28</f>
        <v>0.19411687012962509</v>
      </c>
      <c r="D58" s="36">
        <f>(D33/0.75)/D28</f>
        <v>0.17919776002799967</v>
      </c>
      <c r="E58" s="36">
        <f>(E33/0.5)/E28</f>
        <v>0.1324804168824011</v>
      </c>
      <c r="F58" s="39">
        <v>0</v>
      </c>
      <c r="G58" s="50" t="e">
        <f>G33/G28</f>
        <v>#DIV/0!</v>
      </c>
      <c r="H58" s="49">
        <v>0</v>
      </c>
      <c r="I58" s="40">
        <v>0</v>
      </c>
      <c r="J58" s="40">
        <v>0</v>
      </c>
      <c r="K58" s="50">
        <f>K33/K28</f>
        <v>0.5459040150029836</v>
      </c>
      <c r="L58" s="49">
        <f>(L33/0.75)/L28</f>
        <v>0.34961546456038245</v>
      </c>
      <c r="M58" s="49">
        <f>(M33/0.5)/M28</f>
        <v>0.9077269317329333</v>
      </c>
      <c r="N58" s="36">
        <f>((N33)/0.25)/N28</f>
        <v>0.595123687488877</v>
      </c>
      <c r="O58" s="40">
        <f>O33/O28</f>
        <v>0.2901746511854815</v>
      </c>
      <c r="P58" s="40">
        <f>P33/P27</f>
        <v>0.08133583637980436</v>
      </c>
    </row>
    <row r="59" spans="1:16" ht="11.25">
      <c r="A59" s="3" t="s">
        <v>52</v>
      </c>
      <c r="B59" s="5"/>
      <c r="C59" s="49">
        <f>C34/C28</f>
        <v>0.11324741976263702</v>
      </c>
      <c r="D59" s="36">
        <f>(D34/0.75)/D28</f>
        <v>0.10494868814139822</v>
      </c>
      <c r="E59" s="36">
        <f>(E34/0.5)/E28</f>
        <v>0.0780318340487365</v>
      </c>
      <c r="F59" s="39">
        <v>0</v>
      </c>
      <c r="G59" s="50" t="e">
        <f>G34/G28</f>
        <v>#DIV/0!</v>
      </c>
      <c r="H59" s="49">
        <v>0</v>
      </c>
      <c r="I59" s="40">
        <v>0</v>
      </c>
      <c r="J59" s="40">
        <v>0</v>
      </c>
      <c r="K59" s="50">
        <f>K34/K28</f>
        <v>0.41582132810502087</v>
      </c>
      <c r="L59" s="49">
        <f>(L34/0.75)/L28</f>
        <v>0.26737338044758535</v>
      </c>
      <c r="M59" s="49">
        <f>(M34/0.5)/M28</f>
        <v>0.6971742935733933</v>
      </c>
      <c r="N59" s="36">
        <f>((N34)/0.25)/N28</f>
        <v>0.4604378003203417</v>
      </c>
      <c r="O59" s="40">
        <f>O34/O28</f>
        <v>0.2146160601034247</v>
      </c>
      <c r="P59" s="40">
        <f>P34/P27</f>
        <v>0.06372229358100319</v>
      </c>
    </row>
    <row r="60" spans="1:16" ht="11.25">
      <c r="A60" s="3" t="s">
        <v>53</v>
      </c>
      <c r="B60" s="5"/>
      <c r="C60" s="49">
        <f>C35/C28</f>
        <v>0.08086945036698806</v>
      </c>
      <c r="D60" s="36">
        <f>(D35/0.75)/D28</f>
        <v>0.07424907188660142</v>
      </c>
      <c r="E60" s="36">
        <f>(E35/0.5)/E28</f>
        <v>0.05444858283366459</v>
      </c>
      <c r="F60" s="39">
        <v>0</v>
      </c>
      <c r="G60" s="50" t="e">
        <f>G35/G28</f>
        <v>#DIV/0!</v>
      </c>
      <c r="H60" s="49">
        <v>0</v>
      </c>
      <c r="I60" s="40">
        <v>0</v>
      </c>
      <c r="J60" s="40">
        <v>0</v>
      </c>
      <c r="K60" s="50">
        <f>K35/K28</f>
        <v>0.13008268689796265</v>
      </c>
      <c r="L60" s="49">
        <f>(L35/0.75)/L28</f>
        <v>0.08224208411279707</v>
      </c>
      <c r="M60" s="49">
        <f>(M35/0.5)/M28</f>
        <v>0.2105526381595399</v>
      </c>
      <c r="N60" s="36">
        <f>((N35)/0.25)/N28</f>
        <v>0.13468588716853533</v>
      </c>
      <c r="O60" s="40">
        <f>O35/O28</f>
        <v>0.07555859108205679</v>
      </c>
      <c r="P60" s="40">
        <f>P35/P27</f>
        <v>0.017613542798801174</v>
      </c>
    </row>
    <row r="61" spans="1:16" ht="11.25">
      <c r="A61" s="3" t="s">
        <v>54</v>
      </c>
      <c r="B61" s="5"/>
      <c r="C61" s="49">
        <f>C38/C37</f>
        <v>0.13892773892773894</v>
      </c>
      <c r="D61" s="36">
        <f>(D38/0.75)/(D37/0.75)</f>
        <v>0.11230665770006724</v>
      </c>
      <c r="E61" s="36">
        <f>(E38/0.5)/(E37/0.5)</f>
        <v>0.06986038952682455</v>
      </c>
      <c r="F61" s="39">
        <f>(F38/0.25)/(F37/0.25)</f>
        <v>0.043859649122807015</v>
      </c>
      <c r="G61" s="50">
        <f>G38/G37</f>
        <v>0.06658446362515413</v>
      </c>
      <c r="H61" s="49">
        <f>(H38/0.75)/(H37/0.75)</f>
        <v>0.06688963210702342</v>
      </c>
      <c r="I61" s="40">
        <f>(I38/0.5)/(I37/0.5)</f>
        <v>0.08322981366459627</v>
      </c>
      <c r="J61" s="40">
        <f>(J38/0.25)/(J37/0.25)</f>
        <v>0.09565217391304348</v>
      </c>
      <c r="K61" s="50">
        <f>K38/K37</f>
        <v>0.09039190897597978</v>
      </c>
      <c r="L61" s="49">
        <f>(L38/0.75)/(L37/0.75)</f>
        <v>0.08366854384553499</v>
      </c>
      <c r="M61" s="49">
        <f>(M38/0.5)/(M37/0.5)</f>
        <v>0.07683741648106904</v>
      </c>
      <c r="N61" s="36">
        <f>(N38/0.25)/(N37/0.25)</f>
        <v>0.062381852551984876</v>
      </c>
      <c r="O61" s="40">
        <f>O38/O37</f>
        <v>0.07405541561712846</v>
      </c>
      <c r="P61" s="40">
        <f>P38/P37</f>
        <v>0.1075429424943988</v>
      </c>
    </row>
    <row r="62" spans="1:16" ht="11.25">
      <c r="A62" s="4" t="s">
        <v>55</v>
      </c>
      <c r="B62" s="4"/>
      <c r="C62" s="51">
        <f>C36/C28</f>
        <v>7.54731221343799E-05</v>
      </c>
      <c r="D62" s="38">
        <f>(D36/0.75)/D28</f>
        <v>9.99987500156248E-05</v>
      </c>
      <c r="E62" s="38">
        <f>(E36/0.5)/E28</f>
        <v>6.099577438912365E-05</v>
      </c>
      <c r="F62" s="41">
        <f>(F36/0.25)/F28</f>
        <v>0</v>
      </c>
      <c r="G62" s="52" t="e">
        <f>G36/G28</f>
        <v>#DIV/0!</v>
      </c>
      <c r="H62" s="51">
        <f>(H36/0.75)/H28</f>
        <v>1.3333333333333333</v>
      </c>
      <c r="I62" s="38">
        <f>(I36/0.5)/I28</f>
        <v>0</v>
      </c>
      <c r="J62" s="38">
        <f>(J36/0.25)/J28</f>
        <v>0</v>
      </c>
      <c r="K62" s="52">
        <f>K36/K28</f>
        <v>0.004773676583411474</v>
      </c>
      <c r="L62" s="51">
        <f>(L36/0.75)/L28</f>
        <v>0.0038799972285734085</v>
      </c>
      <c r="M62" s="51">
        <f>(M36/0.5)/M28</f>
        <v>0.014003500875218804</v>
      </c>
      <c r="N62" s="38">
        <f>(N36/0.25)/N28</f>
        <v>0.01594589784659192</v>
      </c>
      <c r="O62" s="38">
        <f>O36/O28</f>
        <v>0.0019123816957751975</v>
      </c>
      <c r="P62" s="38">
        <f>P36/P27</f>
        <v>2.6347857589829727E-05</v>
      </c>
    </row>
    <row r="63" spans="1:14" ht="11.25">
      <c r="A63" s="12" t="s">
        <v>56</v>
      </c>
      <c r="B63" s="6"/>
      <c r="C63" s="5"/>
      <c r="E63" s="19"/>
      <c r="F63" s="32"/>
      <c r="G63" s="6"/>
      <c r="H63" s="6"/>
      <c r="I63" s="6"/>
      <c r="K63" s="42"/>
      <c r="L63" s="5"/>
      <c r="M63" s="5"/>
      <c r="N63" s="5"/>
    </row>
    <row r="64" spans="1:16" ht="11.25">
      <c r="A64" s="3" t="s">
        <v>57</v>
      </c>
      <c r="B64" s="5"/>
      <c r="C64" s="5">
        <v>2</v>
      </c>
      <c r="D64" s="3">
        <v>2</v>
      </c>
      <c r="E64" s="19">
        <v>2</v>
      </c>
      <c r="F64" s="27">
        <v>2</v>
      </c>
      <c r="G64" s="5">
        <v>2</v>
      </c>
      <c r="H64" s="5">
        <v>2</v>
      </c>
      <c r="I64" s="19">
        <v>2</v>
      </c>
      <c r="J64" s="18">
        <v>2</v>
      </c>
      <c r="K64" s="21">
        <v>2</v>
      </c>
      <c r="L64" s="19">
        <v>2</v>
      </c>
      <c r="M64" s="19">
        <v>2</v>
      </c>
      <c r="N64" s="19">
        <v>2</v>
      </c>
      <c r="O64" s="18">
        <v>2</v>
      </c>
      <c r="P64" s="18">
        <v>2</v>
      </c>
    </row>
    <row r="65" spans="1:16" ht="11.25">
      <c r="A65" s="3" t="s">
        <v>58</v>
      </c>
      <c r="B65" s="5"/>
      <c r="C65" s="5">
        <v>1</v>
      </c>
      <c r="D65" s="3">
        <v>1</v>
      </c>
      <c r="E65" s="19">
        <v>1</v>
      </c>
      <c r="F65" s="27">
        <v>1</v>
      </c>
      <c r="G65" s="5">
        <v>1</v>
      </c>
      <c r="H65" s="5">
        <v>1</v>
      </c>
      <c r="I65" s="19">
        <v>1</v>
      </c>
      <c r="J65" s="18">
        <v>1</v>
      </c>
      <c r="K65" s="21">
        <v>1</v>
      </c>
      <c r="L65" s="19">
        <v>1</v>
      </c>
      <c r="M65" s="19">
        <v>1</v>
      </c>
      <c r="N65" s="19">
        <v>1</v>
      </c>
      <c r="O65" s="18">
        <v>1</v>
      </c>
      <c r="P65" s="18">
        <v>1</v>
      </c>
    </row>
    <row r="66" spans="1:16" ht="11.25">
      <c r="A66" s="3" t="s">
        <v>59</v>
      </c>
      <c r="B66" s="5"/>
      <c r="C66" s="19">
        <f aca="true" t="shared" si="15" ref="C66:P66">C12/C64</f>
        <v>20661.5</v>
      </c>
      <c r="D66" s="19">
        <f t="shared" si="15"/>
        <v>20794</v>
      </c>
      <c r="E66" s="19">
        <f t="shared" si="15"/>
        <v>24029</v>
      </c>
      <c r="F66" s="20">
        <f t="shared" si="15"/>
        <v>27141</v>
      </c>
      <c r="G66" s="18">
        <f t="shared" si="15"/>
        <v>0</v>
      </c>
      <c r="H66" s="18">
        <f t="shared" si="15"/>
        <v>0</v>
      </c>
      <c r="I66" s="18">
        <f t="shared" si="15"/>
        <v>0</v>
      </c>
      <c r="J66" s="18">
        <f t="shared" si="15"/>
        <v>0</v>
      </c>
      <c r="K66" s="21">
        <f t="shared" si="15"/>
        <v>0</v>
      </c>
      <c r="L66" s="19">
        <f t="shared" si="15"/>
        <v>0</v>
      </c>
      <c r="M66" s="19">
        <f t="shared" si="15"/>
        <v>0</v>
      </c>
      <c r="N66" s="19">
        <f t="shared" si="15"/>
        <v>0</v>
      </c>
      <c r="O66" s="18">
        <f t="shared" si="15"/>
        <v>11729</v>
      </c>
      <c r="P66" s="18">
        <f t="shared" si="15"/>
        <v>13679</v>
      </c>
    </row>
    <row r="67" spans="1:16" ht="11.25">
      <c r="A67" s="3" t="s">
        <v>60</v>
      </c>
      <c r="B67" s="5"/>
      <c r="C67" s="19">
        <f aca="true" t="shared" si="16" ref="C67:P67">+C16/C64</f>
        <v>49922.5</v>
      </c>
      <c r="D67" s="19">
        <f t="shared" si="16"/>
        <v>55244.5</v>
      </c>
      <c r="E67" s="19">
        <f t="shared" si="16"/>
        <v>51073</v>
      </c>
      <c r="F67" s="20">
        <f t="shared" si="16"/>
        <v>48358</v>
      </c>
      <c r="G67" s="18">
        <f t="shared" si="16"/>
        <v>47163.5</v>
      </c>
      <c r="H67" s="18">
        <f t="shared" si="16"/>
        <v>47209.5</v>
      </c>
      <c r="I67" s="18">
        <f t="shared" si="16"/>
        <v>37190</v>
      </c>
      <c r="J67" s="18">
        <f t="shared" si="16"/>
        <v>32940.5</v>
      </c>
      <c r="K67" s="21">
        <f t="shared" si="16"/>
        <v>29017.5</v>
      </c>
      <c r="L67" s="19">
        <f t="shared" si="16"/>
        <v>27386.5</v>
      </c>
      <c r="M67" s="19">
        <f t="shared" si="16"/>
        <v>32470</v>
      </c>
      <c r="N67" s="19">
        <f t="shared" si="16"/>
        <v>38387.5</v>
      </c>
      <c r="O67" s="18">
        <f t="shared" si="16"/>
        <v>45441</v>
      </c>
      <c r="P67" s="18">
        <f t="shared" si="16"/>
        <v>38069.5</v>
      </c>
    </row>
    <row r="68" spans="1:17" s="2" customFormat="1" ht="11.25">
      <c r="A68" s="53" t="s">
        <v>61</v>
      </c>
      <c r="B68" s="53"/>
      <c r="C68" s="24">
        <f aca="true" t="shared" si="17" ref="C68:P68">+C40/C64</f>
        <v>717</v>
      </c>
      <c r="D68" s="24">
        <f t="shared" si="17"/>
        <v>660</v>
      </c>
      <c r="E68" s="24">
        <f t="shared" si="17"/>
        <v>379.4565</v>
      </c>
      <c r="F68" s="54">
        <f t="shared" si="17"/>
        <v>109</v>
      </c>
      <c r="G68" s="55">
        <f t="shared" si="17"/>
        <v>1135.5</v>
      </c>
      <c r="H68" s="55">
        <f t="shared" si="17"/>
        <v>697.5</v>
      </c>
      <c r="I68" s="55">
        <f t="shared" si="17"/>
        <v>369</v>
      </c>
      <c r="J68" s="55">
        <f t="shared" si="17"/>
        <v>156</v>
      </c>
      <c r="K68" s="56">
        <f t="shared" si="17"/>
        <v>719.5</v>
      </c>
      <c r="L68" s="55">
        <f t="shared" si="17"/>
        <v>569.5</v>
      </c>
      <c r="M68" s="55">
        <f t="shared" si="17"/>
        <v>414.5</v>
      </c>
      <c r="N68" s="55">
        <f t="shared" si="17"/>
        <v>248</v>
      </c>
      <c r="O68" s="55">
        <f t="shared" si="17"/>
        <v>894.5</v>
      </c>
      <c r="P68" s="55">
        <f t="shared" si="17"/>
        <v>569.5</v>
      </c>
      <c r="Q68" s="57"/>
    </row>
    <row r="69" spans="1:16" ht="11.25">
      <c r="A69" s="12" t="s">
        <v>62</v>
      </c>
      <c r="E69" s="19"/>
      <c r="F69" s="27"/>
      <c r="K69" s="33"/>
      <c r="L69" s="6"/>
      <c r="M69" s="6"/>
      <c r="N69" s="5"/>
      <c r="O69" s="6"/>
      <c r="P69" s="6"/>
    </row>
    <row r="70" spans="1:16" ht="11.25">
      <c r="A70" s="3" t="s">
        <v>63</v>
      </c>
      <c r="C70" s="36">
        <f aca="true" t="shared" si="18" ref="C70:I70">(C10/G10)-1</f>
        <v>0.03874760653907949</v>
      </c>
      <c r="D70" s="36">
        <f t="shared" si="18"/>
        <v>0.14572961664374406</v>
      </c>
      <c r="E70" s="36">
        <f t="shared" si="18"/>
        <v>0.32500121223876244</v>
      </c>
      <c r="F70" s="39">
        <f t="shared" si="18"/>
        <v>0.40957758773545017</v>
      </c>
      <c r="G70" s="40">
        <f t="shared" si="18"/>
        <v>0.592439936258887</v>
      </c>
      <c r="H70" s="40">
        <f t="shared" si="18"/>
        <v>0.6815857194045409</v>
      </c>
      <c r="I70" s="40">
        <f t="shared" si="18"/>
        <v>0.15812379789130837</v>
      </c>
      <c r="J70" s="36">
        <f>+(J10/N10)-1</f>
        <v>-0.1273447914682918</v>
      </c>
      <c r="K70" s="45">
        <f>+(K10/O10)-1</f>
        <v>-0.3319617175904601</v>
      </c>
      <c r="L70" s="36">
        <f>+(L10/76913)-1</f>
        <v>-0.20172142550674144</v>
      </c>
      <c r="M70" s="36">
        <f>+(M10/83854)-1</f>
        <v>-0.15055930545948915</v>
      </c>
      <c r="N70" s="36">
        <f>+(N10/86427)-1</f>
        <v>-0.027896374975412752</v>
      </c>
      <c r="O70" s="36">
        <f>+(O10/P10)-1</f>
        <v>0.1878244799202402</v>
      </c>
      <c r="P70" s="36">
        <f>+(P10/69568)-1</f>
        <v>0.18225333486660533</v>
      </c>
    </row>
    <row r="71" spans="1:16" ht="11.25">
      <c r="A71" s="3" t="s">
        <v>64</v>
      </c>
      <c r="C71" s="36">
        <v>0</v>
      </c>
      <c r="D71" s="36">
        <v>0</v>
      </c>
      <c r="E71" s="36">
        <v>0</v>
      </c>
      <c r="F71" s="39">
        <f aca="true" t="shared" si="19" ref="F71:P71">SUM(F72:F73)</f>
        <v>0</v>
      </c>
      <c r="G71" s="36">
        <f t="shared" si="19"/>
        <v>0</v>
      </c>
      <c r="H71" s="36">
        <f t="shared" si="19"/>
        <v>0</v>
      </c>
      <c r="I71" s="36">
        <f t="shared" si="19"/>
        <v>0</v>
      </c>
      <c r="J71" s="36">
        <f t="shared" si="19"/>
        <v>0</v>
      </c>
      <c r="K71" s="45">
        <f t="shared" si="19"/>
        <v>-1</v>
      </c>
      <c r="L71" s="36">
        <f t="shared" si="19"/>
        <v>-1</v>
      </c>
      <c r="M71" s="36">
        <f t="shared" si="19"/>
        <v>-1</v>
      </c>
      <c r="N71" s="36">
        <f t="shared" si="19"/>
        <v>-1</v>
      </c>
      <c r="O71" s="36">
        <f t="shared" si="19"/>
        <v>-0.14255428028364647</v>
      </c>
      <c r="P71" s="36">
        <f t="shared" si="19"/>
        <v>-0.5647304026856316</v>
      </c>
    </row>
    <row r="72" spans="2:16" ht="11.25">
      <c r="B72" s="3" t="s">
        <v>15</v>
      </c>
      <c r="C72" s="36">
        <v>0</v>
      </c>
      <c r="D72" s="36">
        <v>0</v>
      </c>
      <c r="E72" s="36">
        <v>0</v>
      </c>
      <c r="F72" s="39">
        <v>0</v>
      </c>
      <c r="G72" s="36">
        <v>0</v>
      </c>
      <c r="H72" s="36">
        <v>0</v>
      </c>
      <c r="I72" s="36">
        <v>0</v>
      </c>
      <c r="J72" s="36">
        <v>0</v>
      </c>
      <c r="K72" s="45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2:16" ht="11.25">
      <c r="B73" s="3" t="s">
        <v>16</v>
      </c>
      <c r="C73" s="49">
        <v>0</v>
      </c>
      <c r="D73" s="49">
        <v>0</v>
      </c>
      <c r="E73" s="49">
        <v>0</v>
      </c>
      <c r="F73" s="39">
        <v>0</v>
      </c>
      <c r="G73" s="36">
        <v>0</v>
      </c>
      <c r="H73" s="36">
        <v>0</v>
      </c>
      <c r="I73" s="36">
        <v>0</v>
      </c>
      <c r="J73" s="36">
        <v>0</v>
      </c>
      <c r="K73" s="50">
        <f>+(K14/O14)-1</f>
        <v>-1</v>
      </c>
      <c r="L73" s="49">
        <f>+(L14/38481)-1</f>
        <v>-1</v>
      </c>
      <c r="M73" s="49">
        <f>+(M14/15989)-1</f>
        <v>-1</v>
      </c>
      <c r="N73" s="49">
        <f>+(N14/28089)-1</f>
        <v>-1</v>
      </c>
      <c r="O73" s="36">
        <f>+(O14/P14)-1</f>
        <v>-0.14255428028364647</v>
      </c>
      <c r="P73" s="36">
        <f>+(P14/62853)-1</f>
        <v>-0.5647304026856316</v>
      </c>
    </row>
    <row r="74" spans="1:16" ht="11.25">
      <c r="A74" s="3" t="s">
        <v>65</v>
      </c>
      <c r="C74" s="36">
        <f>(C16/G16)-1</f>
        <v>0.058498627116308155</v>
      </c>
      <c r="D74" s="36">
        <f>(D16/H16)-1</f>
        <v>0.17019879473411081</v>
      </c>
      <c r="E74" s="36">
        <f>(E16/I16)-1</f>
        <v>0.3732992739983867</v>
      </c>
      <c r="F74" s="39">
        <f>SUM(F75:F76)</f>
        <v>0.3921464458645132</v>
      </c>
      <c r="G74" s="40">
        <f>(G16/K16)-1</f>
        <v>0.6253467734987508</v>
      </c>
      <c r="H74" s="40">
        <f>(H16/L16)-1</f>
        <v>0.7238237817902982</v>
      </c>
      <c r="I74" s="40">
        <f>(I16/M16)-1</f>
        <v>0.145364952263628</v>
      </c>
      <c r="J74" s="36">
        <f aca="true" t="shared" si="20" ref="J74:P74">SUM(J75:J76)</f>
        <v>-0.14189514816020843</v>
      </c>
      <c r="K74" s="45">
        <f t="shared" si="20"/>
        <v>-0.3614247045619594</v>
      </c>
      <c r="L74" s="36">
        <f t="shared" si="20"/>
        <v>-0.22330936884048724</v>
      </c>
      <c r="M74" s="36">
        <f t="shared" si="20"/>
        <v>-0.1672650800164136</v>
      </c>
      <c r="N74" s="36">
        <f t="shared" si="20"/>
        <v>-0.05027276438352779</v>
      </c>
      <c r="O74" s="36">
        <f t="shared" si="20"/>
        <v>0.19363269809164807</v>
      </c>
      <c r="P74" s="36">
        <f t="shared" si="20"/>
        <v>0.20621970153036973</v>
      </c>
    </row>
    <row r="75" spans="2:16" ht="11.25">
      <c r="B75" s="3" t="s">
        <v>15</v>
      </c>
      <c r="C75" s="36">
        <v>0</v>
      </c>
      <c r="D75" s="36">
        <v>0</v>
      </c>
      <c r="E75" s="36">
        <v>0</v>
      </c>
      <c r="F75" s="39">
        <v>0</v>
      </c>
      <c r="G75" s="36">
        <v>0</v>
      </c>
      <c r="H75" s="36">
        <v>0</v>
      </c>
      <c r="I75" s="36">
        <v>0</v>
      </c>
      <c r="J75" s="36">
        <v>0</v>
      </c>
      <c r="K75" s="45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2:16" ht="11.25">
      <c r="B76" s="3" t="s">
        <v>16</v>
      </c>
      <c r="C76" s="36">
        <f aca="true" t="shared" si="21" ref="C76:I76">(C21/G21)-1</f>
        <v>0.037295790176725685</v>
      </c>
      <c r="D76" s="36">
        <f t="shared" si="21"/>
        <v>0.17019879473411081</v>
      </c>
      <c r="E76" s="36">
        <f t="shared" si="21"/>
        <v>0.23885453078784624</v>
      </c>
      <c r="F76" s="39">
        <f t="shared" si="21"/>
        <v>0.3921464458645132</v>
      </c>
      <c r="G76" s="40">
        <f t="shared" si="21"/>
        <v>0.6253467734987508</v>
      </c>
      <c r="H76" s="40">
        <f t="shared" si="21"/>
        <v>0.7238237817902982</v>
      </c>
      <c r="I76" s="40">
        <f t="shared" si="21"/>
        <v>0.145364952263628</v>
      </c>
      <c r="J76" s="36">
        <f>+(J21/N21)-1</f>
        <v>-0.14189514816020843</v>
      </c>
      <c r="K76" s="45">
        <f>+(K21/O21)-1</f>
        <v>-0.3614247045619594</v>
      </c>
      <c r="L76" s="36">
        <f>+(L21/70521)-1</f>
        <v>-0.22330936884048724</v>
      </c>
      <c r="M76" s="36">
        <f>+(M21/77984)-1</f>
        <v>-0.1672650800164136</v>
      </c>
      <c r="N76" s="36">
        <f>+(N21/80839)-1</f>
        <v>-0.05027276438352779</v>
      </c>
      <c r="O76" s="36">
        <f>+(O21/P21)-1</f>
        <v>0.19363269809164807</v>
      </c>
      <c r="P76" s="36">
        <f>+(P21/63122)-1</f>
        <v>0.20621970153036973</v>
      </c>
    </row>
    <row r="77" spans="1:16" ht="11.25">
      <c r="A77" s="3" t="s">
        <v>22</v>
      </c>
      <c r="C77" s="36">
        <f aca="true" t="shared" si="22" ref="C77:I77">(C25/G25)-1</f>
        <v>-0.15971515768056965</v>
      </c>
      <c r="D77" s="36">
        <f t="shared" si="22"/>
        <v>-0.081555834378921</v>
      </c>
      <c r="E77" s="36">
        <f t="shared" si="22"/>
        <v>-0.07588187038556193</v>
      </c>
      <c r="F77" s="39">
        <f t="shared" si="22"/>
        <v>-0.09713953826049082</v>
      </c>
      <c r="G77" s="40">
        <f t="shared" si="22"/>
        <v>0.345551330798479</v>
      </c>
      <c r="H77" s="40">
        <f t="shared" si="22"/>
        <v>0.27011952191235067</v>
      </c>
      <c r="I77" s="40">
        <f t="shared" si="22"/>
        <v>0.22594703318806575</v>
      </c>
      <c r="J77" s="36">
        <f>+(J25/N25)-1</f>
        <v>0.22261672288301093</v>
      </c>
      <c r="K77" s="45">
        <f>+(K25/O25)-1</f>
        <v>0.28017912772585674</v>
      </c>
      <c r="L77" s="36">
        <f>+(L25/4683)-1</f>
        <v>0.3399530215673714</v>
      </c>
      <c r="M77" s="36">
        <f>+(M25/4244)-1</f>
        <v>0.40574929311969843</v>
      </c>
      <c r="N77" s="36">
        <f>+(N25/3764)-1</f>
        <v>0.4965462274176409</v>
      </c>
      <c r="O77" s="36">
        <f>+(O25/P25)-1</f>
        <v>0.050951503990178004</v>
      </c>
      <c r="P77" s="36">
        <f>+(4887/4596)-1</f>
        <v>0.0633159268929504</v>
      </c>
    </row>
    <row r="78" spans="1:16" ht="11.25">
      <c r="A78" s="4" t="s">
        <v>66</v>
      </c>
      <c r="B78" s="4"/>
      <c r="C78" s="38">
        <f aca="true" t="shared" si="23" ref="C78:I78">(C40/G40)-1</f>
        <v>-0.36856010568031705</v>
      </c>
      <c r="D78" s="38">
        <f t="shared" si="23"/>
        <v>-0.053763440860215006</v>
      </c>
      <c r="E78" s="38">
        <f t="shared" si="23"/>
        <v>0.028337398373983858</v>
      </c>
      <c r="F78" s="41">
        <f t="shared" si="23"/>
        <v>-0.3012820512820513</v>
      </c>
      <c r="G78" s="38">
        <f t="shared" si="23"/>
        <v>0.5781792911744268</v>
      </c>
      <c r="H78" s="38">
        <f t="shared" si="23"/>
        <v>0.22475856014047402</v>
      </c>
      <c r="I78" s="38">
        <f t="shared" si="23"/>
        <v>-0.10977080820265384</v>
      </c>
      <c r="J78" s="38">
        <f>+(J40/N40)-1</f>
        <v>-0.3709677419354839</v>
      </c>
      <c r="K78" s="48">
        <f>+(K40/O40)-1</f>
        <v>-0.1956400223588597</v>
      </c>
      <c r="L78" s="38">
        <f>+(L40/1331)-1</f>
        <v>-0.14425244177310292</v>
      </c>
      <c r="M78" s="38">
        <f>+(M40/897)-1</f>
        <v>-0.07580824972129319</v>
      </c>
      <c r="N78" s="38">
        <f>+(N40/416)-1</f>
        <v>0.1923076923076923</v>
      </c>
      <c r="O78" s="38">
        <f>+(O40/P40)-1</f>
        <v>0.5706760316066726</v>
      </c>
      <c r="P78" s="38">
        <f>+(P40/1249)-1</f>
        <v>-0.08807045636509203</v>
      </c>
    </row>
    <row r="80" spans="1:15" ht="11.25">
      <c r="A80" s="3" t="s">
        <v>67</v>
      </c>
      <c r="L80" s="19"/>
      <c r="M80" s="19"/>
      <c r="N80" s="19"/>
      <c r="O80" s="5"/>
    </row>
    <row r="81" spans="1:15" ht="11.25">
      <c r="A81" s="3" t="s">
        <v>68</v>
      </c>
      <c r="L81" s="5"/>
      <c r="M81" s="5"/>
      <c r="N81" s="5"/>
      <c r="O81" s="5"/>
    </row>
    <row r="82" spans="12:15" ht="11.25">
      <c r="L82" s="5"/>
      <c r="M82" s="5"/>
      <c r="N82" s="5"/>
      <c r="O82" s="5"/>
    </row>
    <row r="83" spans="12:15" ht="11.25">
      <c r="L83" s="5"/>
      <c r="M83" s="5"/>
      <c r="N83" s="5"/>
      <c r="O83" s="5"/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2017-06-16T17:23:30Z</dcterms:created>
  <dcterms:modified xsi:type="dcterms:W3CDTF">2017-06-16T17:23:33Z</dcterms:modified>
  <cp:category/>
  <cp:version/>
  <cp:contentType/>
  <cp:contentStatus/>
</cp:coreProperties>
</file>