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Austrobank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<sst xmlns="http://schemas.openxmlformats.org/spreadsheetml/2006/main" count="89" uniqueCount="67">
  <si>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 CUADRO No. 19-27</t>
  </si>
  <si>
    <t>AUSTROBANK OVERSEAS, S.A.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</si>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</sst>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2" fillId="0" borderId="0" xfId="46" applyNumberFormat="1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5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Alignment="1">
      <alignment/>
    </xf>
    <xf numFmtId="201" fontId="3" fillId="0" borderId="0" xfId="46" applyNumberFormat="1" applyFont="1" applyFill="1" applyBorder="1" applyAlignment="1">
      <alignment/>
    </xf>
    <xf numFmtId="201" fontId="3" fillId="0" borderId="0" xfId="46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15" xfId="52" applyNumberFormat="1" applyFont="1" applyFill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0" fontId="3" fillId="0" borderId="17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204" fontId="3" fillId="0" borderId="15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7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11.421875" defaultRowHeight="12.75"/>
  <cols>
    <col min="1" max="1" width="3.8515625" style="2" customWidth="1"/>
    <col min="2" max="2" width="28.00390625" style="2" customWidth="1"/>
    <col min="3" max="3" width="11.8515625" style="2" customWidth="1"/>
    <col min="4" max="4" width="8.421875" style="2" customWidth="1"/>
    <col min="5" max="5" width="7.421875" style="2" customWidth="1"/>
    <col min="6" max="6" width="7.57421875" style="2" customWidth="1"/>
    <col min="7" max="7" width="7.00390625" style="2" bestFit="1" customWidth="1"/>
    <col min="8" max="8" width="7.7109375" style="2" bestFit="1" customWidth="1"/>
    <col min="9" max="9" width="7.7109375" style="2" customWidth="1"/>
    <col min="10" max="10" width="7.421875" style="2" customWidth="1"/>
    <col min="11" max="11" width="7.00390625" style="2" bestFit="1" customWidth="1"/>
    <col min="12" max="12" width="7.7109375" style="2" bestFit="1" customWidth="1"/>
    <col min="13" max="13" width="7.421875" style="2" customWidth="1"/>
    <col min="14" max="14" width="7.7109375" style="2" customWidth="1"/>
    <col min="15" max="15" width="0.13671875" style="2" hidden="1" customWidth="1"/>
    <col min="16" max="16" width="5.8515625" style="2" hidden="1" customWidth="1"/>
    <col min="17" max="17" width="11.421875" style="2" customWidth="1"/>
    <col min="18" max="16384" width="11.421875" style="1" customWidth="1"/>
  </cols>
  <sheetData>
    <row r="1" spans="2:16" ht="11.25">
      <c r="B1" s="60"/>
      <c r="C1" s="60"/>
      <c r="D1" s="60"/>
      <c r="E1" s="60"/>
      <c r="F1" s="60"/>
      <c r="G1" s="60" t="s">
        <v>0</v>
      </c>
      <c r="H1" s="60"/>
      <c r="I1" s="60"/>
      <c r="J1" s="60"/>
      <c r="K1" s="60"/>
      <c r="L1" s="60"/>
      <c r="M1" s="60"/>
      <c r="N1" s="60"/>
      <c r="O1" s="60"/>
      <c r="P1" s="60"/>
    </row>
    <row r="2" spans="2:16" ht="11.25">
      <c r="B2" s="60"/>
      <c r="C2" s="60"/>
      <c r="D2" s="60"/>
      <c r="E2" s="60"/>
      <c r="F2" s="60"/>
      <c r="G2" s="60" t="s">
        <v>1</v>
      </c>
      <c r="H2" s="60"/>
      <c r="I2" s="60"/>
      <c r="J2" s="60"/>
      <c r="K2" s="60"/>
      <c r="L2" s="60"/>
      <c r="M2" s="60"/>
      <c r="N2" s="60"/>
      <c r="O2" s="60"/>
      <c r="P2" s="60"/>
    </row>
    <row r="3" spans="2:16" ht="11.25">
      <c r="B3" s="60"/>
      <c r="C3" s="60"/>
      <c r="D3" s="60"/>
      <c r="E3" s="60"/>
      <c r="F3" s="60"/>
      <c r="G3" s="60" t="s">
        <v>2</v>
      </c>
      <c r="H3" s="60"/>
      <c r="I3" s="60"/>
      <c r="J3" s="60"/>
      <c r="K3" s="60"/>
      <c r="L3" s="60"/>
      <c r="M3" s="60"/>
      <c r="N3" s="60"/>
      <c r="O3" s="60"/>
      <c r="P3" s="60"/>
    </row>
    <row r="4" spans="1:16" ht="11.25">
      <c r="A4" s="1"/>
      <c r="B4" s="59"/>
      <c r="C4" s="59"/>
      <c r="D4" s="59"/>
      <c r="E4" s="59"/>
      <c r="F4" s="59"/>
      <c r="G4" s="59" t="s">
        <v>3</v>
      </c>
      <c r="H4" s="59"/>
      <c r="I4" s="59"/>
      <c r="J4" s="59"/>
      <c r="K4" s="59"/>
      <c r="L4" s="59"/>
      <c r="M4" s="59"/>
      <c r="N4" s="59"/>
      <c r="O4" s="59"/>
      <c r="P4" s="59"/>
    </row>
    <row r="5" spans="1:16" ht="11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2.75" customHeight="1">
      <c r="A7" s="5"/>
      <c r="B7" s="5"/>
      <c r="C7" s="62">
        <v>2002</v>
      </c>
      <c r="D7" s="62"/>
      <c r="E7" s="62"/>
      <c r="F7" s="63"/>
      <c r="G7" s="62">
        <v>2001</v>
      </c>
      <c r="H7" s="62"/>
      <c r="I7" s="62"/>
      <c r="J7" s="62"/>
      <c r="K7" s="61">
        <v>2000</v>
      </c>
      <c r="L7" s="62"/>
      <c r="M7" s="62"/>
      <c r="N7" s="62"/>
      <c r="O7" s="62" t="s">
        <v>4</v>
      </c>
      <c r="P7" s="62"/>
    </row>
    <row r="8" spans="1:16" ht="11.25">
      <c r="A8" s="6"/>
      <c r="B8" s="6"/>
      <c r="C8" s="7" t="s">
        <v>5</v>
      </c>
      <c r="D8" s="7" t="s">
        <v>6</v>
      </c>
      <c r="E8" s="7" t="s">
        <v>7</v>
      </c>
      <c r="F8" s="8" t="s">
        <v>8</v>
      </c>
      <c r="G8" s="7" t="s">
        <v>5</v>
      </c>
      <c r="H8" s="7" t="s">
        <v>6</v>
      </c>
      <c r="I8" s="6" t="s">
        <v>7</v>
      </c>
      <c r="J8" s="6" t="s">
        <v>8</v>
      </c>
      <c r="K8" s="9" t="s">
        <v>5</v>
      </c>
      <c r="L8" s="6" t="s">
        <v>6</v>
      </c>
      <c r="M8" s="6" t="s">
        <v>7</v>
      </c>
      <c r="N8" s="7" t="s">
        <v>8</v>
      </c>
      <c r="O8" s="10" t="s">
        <v>9</v>
      </c>
      <c r="P8" s="10" t="s">
        <v>10</v>
      </c>
    </row>
    <row r="9" spans="1:16" ht="11.25">
      <c r="A9" s="11" t="s">
        <v>11</v>
      </c>
      <c r="B9" s="11"/>
      <c r="C9" s="11"/>
      <c r="D9" s="11"/>
      <c r="E9" s="12"/>
      <c r="F9" s="13"/>
      <c r="G9" s="11"/>
      <c r="H9" s="11"/>
      <c r="I9" s="11"/>
      <c r="J9" s="11"/>
      <c r="K9" s="14"/>
      <c r="L9" s="15"/>
      <c r="M9" s="15"/>
      <c r="N9" s="15"/>
      <c r="O9" s="16"/>
      <c r="P9" s="16"/>
    </row>
    <row r="10" spans="1:16" ht="11.25">
      <c r="A10" s="2" t="s">
        <v>12</v>
      </c>
      <c r="C10" s="17">
        <v>56765</v>
      </c>
      <c r="D10" s="17">
        <v>44824</v>
      </c>
      <c r="E10" s="18">
        <v>32259</v>
      </c>
      <c r="F10" s="19">
        <v>27606</v>
      </c>
      <c r="G10" s="17">
        <v>24678</v>
      </c>
      <c r="H10" s="17">
        <v>16511</v>
      </c>
      <c r="I10" s="17">
        <v>17686</v>
      </c>
      <c r="J10" s="17">
        <v>13155</v>
      </c>
      <c r="K10" s="20">
        <v>11861</v>
      </c>
      <c r="L10" s="18">
        <v>14008</v>
      </c>
      <c r="M10" s="18">
        <v>11587</v>
      </c>
      <c r="N10" s="18">
        <v>9061</v>
      </c>
      <c r="O10" s="17">
        <v>9077</v>
      </c>
      <c r="P10" s="17">
        <v>18467</v>
      </c>
    </row>
    <row r="11" spans="1:16" ht="11.25">
      <c r="A11" s="2" t="s">
        <v>13</v>
      </c>
      <c r="C11" s="17">
        <v>10678</v>
      </c>
      <c r="D11" s="17">
        <v>13589</v>
      </c>
      <c r="E11" s="18">
        <v>19663</v>
      </c>
      <c r="F11" s="19">
        <v>21509</v>
      </c>
      <c r="G11" s="17">
        <v>17202</v>
      </c>
      <c r="H11" s="17">
        <v>9452</v>
      </c>
      <c r="I11" s="17">
        <v>10789</v>
      </c>
      <c r="J11" s="17">
        <v>7868</v>
      </c>
      <c r="K11" s="20">
        <v>5585</v>
      </c>
      <c r="L11" s="18">
        <v>10407</v>
      </c>
      <c r="M11" s="18">
        <v>8520</v>
      </c>
      <c r="N11" s="18">
        <v>5461</v>
      </c>
      <c r="O11" s="17">
        <v>5109</v>
      </c>
      <c r="P11" s="17">
        <v>9686</v>
      </c>
    </row>
    <row r="12" spans="1:16" ht="11.25">
      <c r="A12" s="2" t="s">
        <v>14</v>
      </c>
      <c r="C12" s="18">
        <f aca="true" t="shared" si="0" ref="C12:P12">C13+C14</f>
        <v>12324</v>
      </c>
      <c r="D12" s="18">
        <f t="shared" si="0"/>
        <v>11952</v>
      </c>
      <c r="E12" s="18">
        <f t="shared" si="0"/>
        <v>8246</v>
      </c>
      <c r="F12" s="19">
        <f t="shared" si="0"/>
        <v>4026</v>
      </c>
      <c r="G12" s="17">
        <f t="shared" si="0"/>
        <v>5007</v>
      </c>
      <c r="H12" s="17">
        <f t="shared" si="0"/>
        <v>5105</v>
      </c>
      <c r="I12" s="17">
        <f t="shared" si="0"/>
        <v>5370</v>
      </c>
      <c r="J12" s="17">
        <f t="shared" si="0"/>
        <v>4698</v>
      </c>
      <c r="K12" s="20">
        <f t="shared" si="0"/>
        <v>5670</v>
      </c>
      <c r="L12" s="18">
        <f t="shared" si="0"/>
        <v>2988</v>
      </c>
      <c r="M12" s="18">
        <f t="shared" si="0"/>
        <v>2173</v>
      </c>
      <c r="N12" s="18">
        <f t="shared" si="0"/>
        <v>2669</v>
      </c>
      <c r="O12" s="17">
        <f t="shared" si="0"/>
        <v>2950</v>
      </c>
      <c r="P12" s="17">
        <f t="shared" si="0"/>
        <v>6465</v>
      </c>
    </row>
    <row r="13" spans="2:16" ht="11.25">
      <c r="B13" s="2" t="s">
        <v>15</v>
      </c>
      <c r="C13" s="18">
        <v>0</v>
      </c>
      <c r="D13" s="18">
        <v>0</v>
      </c>
      <c r="E13" s="18">
        <v>0</v>
      </c>
      <c r="F13" s="19">
        <v>0</v>
      </c>
      <c r="G13" s="17">
        <v>0</v>
      </c>
      <c r="H13" s="17">
        <v>0</v>
      </c>
      <c r="I13" s="17">
        <v>0</v>
      </c>
      <c r="J13" s="17">
        <v>0</v>
      </c>
      <c r="K13" s="20">
        <v>0</v>
      </c>
      <c r="L13" s="18">
        <v>0</v>
      </c>
      <c r="M13" s="18">
        <v>0</v>
      </c>
      <c r="N13" s="18">
        <v>0</v>
      </c>
      <c r="O13" s="17">
        <v>0</v>
      </c>
      <c r="P13" s="17">
        <v>0</v>
      </c>
    </row>
    <row r="14" spans="2:16" ht="11.25">
      <c r="B14" s="2" t="s">
        <v>16</v>
      </c>
      <c r="C14" s="17">
        <v>12324</v>
      </c>
      <c r="D14" s="18">
        <v>11952</v>
      </c>
      <c r="E14" s="18">
        <v>8246</v>
      </c>
      <c r="F14" s="19">
        <v>4026</v>
      </c>
      <c r="G14" s="17">
        <v>5007</v>
      </c>
      <c r="H14" s="17">
        <v>5105</v>
      </c>
      <c r="I14" s="17">
        <v>5370</v>
      </c>
      <c r="J14" s="17">
        <v>4698</v>
      </c>
      <c r="K14" s="20">
        <v>5670</v>
      </c>
      <c r="L14" s="18">
        <v>2988</v>
      </c>
      <c r="M14" s="18">
        <v>2173</v>
      </c>
      <c r="N14" s="18">
        <v>2669</v>
      </c>
      <c r="O14" s="17">
        <v>2950</v>
      </c>
      <c r="P14" s="17">
        <v>6465</v>
      </c>
    </row>
    <row r="15" spans="1:16" ht="11.25">
      <c r="A15" s="2" t="s">
        <v>17</v>
      </c>
      <c r="C15" s="18">
        <v>0</v>
      </c>
      <c r="D15" s="18">
        <v>0</v>
      </c>
      <c r="E15" s="18">
        <v>0</v>
      </c>
      <c r="F15" s="19">
        <v>0</v>
      </c>
      <c r="G15" s="21">
        <v>0</v>
      </c>
      <c r="H15" s="21">
        <v>0</v>
      </c>
      <c r="I15" s="17">
        <v>0</v>
      </c>
      <c r="J15" s="17">
        <v>0</v>
      </c>
      <c r="K15" s="20">
        <v>0</v>
      </c>
      <c r="L15" s="18">
        <v>0</v>
      </c>
      <c r="M15" s="18">
        <v>0</v>
      </c>
      <c r="N15" s="18">
        <v>0</v>
      </c>
      <c r="O15" s="17">
        <v>60</v>
      </c>
      <c r="P15" s="17">
        <v>60</v>
      </c>
    </row>
    <row r="16" spans="1:16" ht="11.25">
      <c r="A16" s="2" t="s">
        <v>18</v>
      </c>
      <c r="C16" s="18">
        <f aca="true" t="shared" si="1" ref="C16:P16">C17+C21</f>
        <v>19894</v>
      </c>
      <c r="D16" s="18">
        <f t="shared" si="1"/>
        <v>22751</v>
      </c>
      <c r="E16" s="18">
        <f t="shared" si="1"/>
        <v>24644</v>
      </c>
      <c r="F16" s="19">
        <f t="shared" si="1"/>
        <v>21833</v>
      </c>
      <c r="G16" s="17">
        <f t="shared" si="1"/>
        <v>18312</v>
      </c>
      <c r="H16" s="17">
        <f t="shared" si="1"/>
        <v>10766</v>
      </c>
      <c r="I16" s="17">
        <f t="shared" si="1"/>
        <v>12159</v>
      </c>
      <c r="J16" s="17">
        <f t="shared" si="1"/>
        <v>8369</v>
      </c>
      <c r="K16" s="20">
        <f t="shared" si="1"/>
        <v>7243</v>
      </c>
      <c r="L16" s="18">
        <f t="shared" si="1"/>
        <v>9168</v>
      </c>
      <c r="M16" s="18">
        <f t="shared" si="1"/>
        <v>6599</v>
      </c>
      <c r="N16" s="18">
        <f t="shared" si="1"/>
        <v>4631</v>
      </c>
      <c r="O16" s="17">
        <f t="shared" si="1"/>
        <v>4344</v>
      </c>
      <c r="P16" s="17">
        <f t="shared" si="1"/>
        <v>12729</v>
      </c>
    </row>
    <row r="17" spans="2:16" ht="11.25">
      <c r="B17" s="2" t="s">
        <v>15</v>
      </c>
      <c r="C17" s="18">
        <f aca="true" t="shared" si="2" ref="C17:P17">SUM(C18:C20)</f>
        <v>0</v>
      </c>
      <c r="D17" s="18">
        <f t="shared" si="2"/>
        <v>0</v>
      </c>
      <c r="E17" s="18">
        <f t="shared" si="2"/>
        <v>0</v>
      </c>
      <c r="F17" s="19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20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7">
        <f t="shared" si="2"/>
        <v>0</v>
      </c>
      <c r="P17" s="17">
        <f t="shared" si="2"/>
        <v>0</v>
      </c>
    </row>
    <row r="18" spans="2:16" ht="11.25">
      <c r="B18" s="2" t="s">
        <v>19</v>
      </c>
      <c r="C18" s="22">
        <v>0</v>
      </c>
      <c r="D18" s="22">
        <v>0</v>
      </c>
      <c r="E18" s="18">
        <v>0</v>
      </c>
      <c r="F18" s="19">
        <v>0</v>
      </c>
      <c r="G18" s="17">
        <v>0</v>
      </c>
      <c r="H18" s="17">
        <v>0</v>
      </c>
      <c r="I18" s="17">
        <v>0</v>
      </c>
      <c r="J18" s="23">
        <v>0</v>
      </c>
      <c r="K18" s="20">
        <v>0</v>
      </c>
      <c r="L18" s="18">
        <v>0</v>
      </c>
      <c r="M18" s="18">
        <v>0</v>
      </c>
      <c r="N18" s="18">
        <v>0</v>
      </c>
      <c r="O18" s="17">
        <v>0</v>
      </c>
      <c r="P18" s="17">
        <v>0</v>
      </c>
    </row>
    <row r="19" spans="2:16" ht="11.25">
      <c r="B19" s="2" t="s">
        <v>20</v>
      </c>
      <c r="C19" s="22">
        <v>0</v>
      </c>
      <c r="D19" s="22">
        <v>0</v>
      </c>
      <c r="E19" s="18">
        <v>0</v>
      </c>
      <c r="F19" s="19">
        <v>0</v>
      </c>
      <c r="G19" s="17">
        <v>0</v>
      </c>
      <c r="H19" s="17">
        <v>0</v>
      </c>
      <c r="I19" s="17">
        <v>0</v>
      </c>
      <c r="J19" s="23">
        <v>0</v>
      </c>
      <c r="K19" s="20">
        <v>0</v>
      </c>
      <c r="L19" s="18">
        <v>0</v>
      </c>
      <c r="M19" s="18">
        <v>0</v>
      </c>
      <c r="N19" s="18">
        <v>0</v>
      </c>
      <c r="O19" s="17">
        <v>0</v>
      </c>
      <c r="P19" s="17">
        <v>0</v>
      </c>
    </row>
    <row r="20" spans="2:16" ht="11.25">
      <c r="B20" s="2" t="s">
        <v>21</v>
      </c>
      <c r="C20" s="22">
        <v>0</v>
      </c>
      <c r="D20" s="22">
        <v>0</v>
      </c>
      <c r="E20" s="18">
        <v>0</v>
      </c>
      <c r="F20" s="19">
        <v>0</v>
      </c>
      <c r="G20" s="17">
        <v>0</v>
      </c>
      <c r="H20" s="17">
        <v>0</v>
      </c>
      <c r="I20" s="17">
        <v>0</v>
      </c>
      <c r="J20" s="23">
        <v>0</v>
      </c>
      <c r="K20" s="20">
        <v>0</v>
      </c>
      <c r="L20" s="18">
        <v>0</v>
      </c>
      <c r="M20" s="18">
        <v>0</v>
      </c>
      <c r="N20" s="18">
        <v>0</v>
      </c>
      <c r="O20" s="17">
        <v>0</v>
      </c>
      <c r="P20" s="17">
        <v>0</v>
      </c>
    </row>
    <row r="21" spans="2:16" ht="11.25">
      <c r="B21" s="2" t="s">
        <v>16</v>
      </c>
      <c r="C21" s="18">
        <f>SUM(C22:C24)</f>
        <v>19894</v>
      </c>
      <c r="D21" s="18">
        <f>SUM(D22:D24)</f>
        <v>22751</v>
      </c>
      <c r="E21" s="18">
        <f>SUM(E22:E24)</f>
        <v>24644</v>
      </c>
      <c r="F21" s="19">
        <f>SUM(F22:F24)</f>
        <v>21833</v>
      </c>
      <c r="G21" s="17">
        <f aca="true" t="shared" si="3" ref="G21:P21">SUM(G23:G24)</f>
        <v>18312</v>
      </c>
      <c r="H21" s="17">
        <f t="shared" si="3"/>
        <v>10766</v>
      </c>
      <c r="I21" s="17">
        <f t="shared" si="3"/>
        <v>12159</v>
      </c>
      <c r="J21" s="23">
        <f t="shared" si="3"/>
        <v>8369</v>
      </c>
      <c r="K21" s="20">
        <f t="shared" si="3"/>
        <v>7243</v>
      </c>
      <c r="L21" s="18">
        <f t="shared" si="3"/>
        <v>9168</v>
      </c>
      <c r="M21" s="18">
        <f t="shared" si="3"/>
        <v>6599</v>
      </c>
      <c r="N21" s="18">
        <f t="shared" si="3"/>
        <v>4631</v>
      </c>
      <c r="O21" s="17">
        <f t="shared" si="3"/>
        <v>4344</v>
      </c>
      <c r="P21" s="17">
        <f t="shared" si="3"/>
        <v>12729</v>
      </c>
    </row>
    <row r="22" spans="2:16" ht="11.25">
      <c r="B22" s="2" t="s">
        <v>19</v>
      </c>
      <c r="C22" s="18"/>
      <c r="D22" s="18"/>
      <c r="E22" s="18"/>
      <c r="F22" s="19"/>
      <c r="G22" s="17"/>
      <c r="H22" s="17"/>
      <c r="I22" s="17"/>
      <c r="J22" s="23"/>
      <c r="K22" s="20"/>
      <c r="L22" s="18"/>
      <c r="M22" s="18"/>
      <c r="N22" s="18"/>
      <c r="O22" s="17"/>
      <c r="P22" s="17"/>
    </row>
    <row r="23" spans="2:16" ht="11.25">
      <c r="B23" s="2" t="s">
        <v>20</v>
      </c>
      <c r="C23" s="17">
        <v>13819</v>
      </c>
      <c r="D23" s="24">
        <v>16662</v>
      </c>
      <c r="E23" s="18">
        <v>18069</v>
      </c>
      <c r="F23" s="19">
        <v>10133</v>
      </c>
      <c r="G23" s="17">
        <f>10507+5</f>
        <v>10512</v>
      </c>
      <c r="H23" s="17">
        <f>67+8899+1800</f>
        <v>10766</v>
      </c>
      <c r="I23" s="17">
        <v>12159</v>
      </c>
      <c r="J23" s="23">
        <v>8369</v>
      </c>
      <c r="K23" s="20">
        <f>43+7200</f>
        <v>7243</v>
      </c>
      <c r="L23" s="18">
        <v>9168</v>
      </c>
      <c r="M23" s="18">
        <v>6599</v>
      </c>
      <c r="N23" s="18">
        <v>4631</v>
      </c>
      <c r="O23" s="17">
        <v>4344</v>
      </c>
      <c r="P23" s="17">
        <v>12729</v>
      </c>
    </row>
    <row r="24" spans="2:16" ht="11.25">
      <c r="B24" s="2" t="s">
        <v>21</v>
      </c>
      <c r="C24" s="17">
        <v>6075</v>
      </c>
      <c r="D24" s="24">
        <v>6089</v>
      </c>
      <c r="E24" s="18">
        <v>6575</v>
      </c>
      <c r="F24" s="19">
        <v>11700</v>
      </c>
      <c r="G24" s="17">
        <v>7800</v>
      </c>
      <c r="H24" s="17">
        <v>0</v>
      </c>
      <c r="I24" s="17">
        <v>0</v>
      </c>
      <c r="J24" s="23">
        <v>0</v>
      </c>
      <c r="K24" s="20">
        <v>0</v>
      </c>
      <c r="L24" s="18">
        <v>0</v>
      </c>
      <c r="M24" s="18">
        <v>0</v>
      </c>
      <c r="N24" s="18">
        <v>0</v>
      </c>
      <c r="O24" s="17">
        <v>0</v>
      </c>
      <c r="P24" s="17">
        <v>0</v>
      </c>
    </row>
    <row r="25" spans="1:16" ht="11.25">
      <c r="A25" s="3" t="s">
        <v>22</v>
      </c>
      <c r="B25" s="3"/>
      <c r="C25" s="25">
        <v>4784</v>
      </c>
      <c r="D25" s="25">
        <v>4266</v>
      </c>
      <c r="E25" s="25">
        <v>3746</v>
      </c>
      <c r="F25" s="26">
        <v>3720</v>
      </c>
      <c r="G25" s="25">
        <v>3923</v>
      </c>
      <c r="H25" s="25">
        <v>3755</v>
      </c>
      <c r="I25" s="25">
        <v>3759</v>
      </c>
      <c r="J25" s="25">
        <v>4194</v>
      </c>
      <c r="K25" s="27">
        <v>4260</v>
      </c>
      <c r="L25" s="25">
        <v>4141</v>
      </c>
      <c r="M25" s="25">
        <v>4080</v>
      </c>
      <c r="N25" s="25">
        <v>4090</v>
      </c>
      <c r="O25" s="25">
        <v>4126</v>
      </c>
      <c r="P25" s="25">
        <v>4039</v>
      </c>
    </row>
    <row r="26" spans="1:16" ht="11.25">
      <c r="A26" s="11" t="s">
        <v>23</v>
      </c>
      <c r="C26" s="5"/>
      <c r="D26" s="4"/>
      <c r="E26" s="18"/>
      <c r="F26" s="28"/>
      <c r="J26" s="17"/>
      <c r="K26" s="20"/>
      <c r="L26" s="18"/>
      <c r="M26" s="18"/>
      <c r="N26" s="18"/>
      <c r="O26" s="17"/>
      <c r="P26" s="17"/>
    </row>
    <row r="27" spans="1:16" ht="11.25">
      <c r="A27" s="2" t="s">
        <v>12</v>
      </c>
      <c r="C27" s="18">
        <f aca="true" t="shared" si="4" ref="C27:I27">(C10+G10)/2</f>
        <v>40721.5</v>
      </c>
      <c r="D27" s="18">
        <f t="shared" si="4"/>
        <v>30667.5</v>
      </c>
      <c r="E27" s="18">
        <f t="shared" si="4"/>
        <v>24972.5</v>
      </c>
      <c r="F27" s="19">
        <f t="shared" si="4"/>
        <v>20380.5</v>
      </c>
      <c r="G27" s="17">
        <f t="shared" si="4"/>
        <v>18269.5</v>
      </c>
      <c r="H27" s="17">
        <f t="shared" si="4"/>
        <v>15259.5</v>
      </c>
      <c r="I27" s="17">
        <f t="shared" si="4"/>
        <v>14636.5</v>
      </c>
      <c r="J27" s="17">
        <f>+(J10+N10)/2</f>
        <v>11108</v>
      </c>
      <c r="K27" s="20">
        <f>+(K10+O10)/2</f>
        <v>10469</v>
      </c>
      <c r="L27" s="18">
        <f>+(9120+L10)/2</f>
        <v>11564</v>
      </c>
      <c r="M27" s="18">
        <f>+(9322+M10)/2</f>
        <v>10454.5</v>
      </c>
      <c r="N27" s="18">
        <f>+(17524+N10)/2</f>
        <v>13292.5</v>
      </c>
      <c r="O27" s="17">
        <f>+(O10+P10)/2</f>
        <v>13772</v>
      </c>
      <c r="P27" s="17">
        <f>+(P10+21610)/2</f>
        <v>20038.5</v>
      </c>
    </row>
    <row r="28" spans="1:16" ht="11.25">
      <c r="A28" s="2" t="s">
        <v>24</v>
      </c>
      <c r="C28" s="18">
        <f aca="true" t="shared" si="5" ref="C28:P28">C29+C30</f>
        <v>8665.5</v>
      </c>
      <c r="D28" s="18">
        <f t="shared" si="5"/>
        <v>8528.5</v>
      </c>
      <c r="E28" s="18">
        <f t="shared" si="5"/>
        <v>6808</v>
      </c>
      <c r="F28" s="19">
        <f t="shared" si="5"/>
        <v>4362</v>
      </c>
      <c r="G28" s="17">
        <f t="shared" si="5"/>
        <v>5338.5</v>
      </c>
      <c r="H28" s="17">
        <f t="shared" si="5"/>
        <v>4046.5</v>
      </c>
      <c r="I28" s="17">
        <f t="shared" si="5"/>
        <v>3771.5</v>
      </c>
      <c r="J28" s="17">
        <f t="shared" si="5"/>
        <v>3683.5</v>
      </c>
      <c r="K28" s="20">
        <f t="shared" si="5"/>
        <v>4340</v>
      </c>
      <c r="L28" s="18">
        <f t="shared" si="5"/>
        <v>3274.5</v>
      </c>
      <c r="M28" s="18">
        <f t="shared" si="5"/>
        <v>2882</v>
      </c>
      <c r="N28" s="18">
        <f t="shared" si="5"/>
        <v>3687</v>
      </c>
      <c r="O28" s="17">
        <f t="shared" si="5"/>
        <v>4767.5</v>
      </c>
      <c r="P28" s="17">
        <f t="shared" si="5"/>
        <v>5000.5</v>
      </c>
    </row>
    <row r="29" spans="2:16" ht="11.25">
      <c r="B29" s="2" t="s">
        <v>14</v>
      </c>
      <c r="C29" s="18">
        <f aca="true" t="shared" si="6" ref="C29:I29">(C12+G12)/2</f>
        <v>8665.5</v>
      </c>
      <c r="D29" s="18">
        <f t="shared" si="6"/>
        <v>8528.5</v>
      </c>
      <c r="E29" s="18">
        <f t="shared" si="6"/>
        <v>6808</v>
      </c>
      <c r="F29" s="19">
        <f t="shared" si="6"/>
        <v>4362</v>
      </c>
      <c r="G29" s="17">
        <f t="shared" si="6"/>
        <v>5338.5</v>
      </c>
      <c r="H29" s="17">
        <f t="shared" si="6"/>
        <v>4046.5</v>
      </c>
      <c r="I29" s="17">
        <f t="shared" si="6"/>
        <v>3771.5</v>
      </c>
      <c r="J29" s="17">
        <f>+(J12+N12)/2</f>
        <v>3683.5</v>
      </c>
      <c r="K29" s="20">
        <f>+(K12+O12)/2</f>
        <v>4310</v>
      </c>
      <c r="L29" s="18">
        <f>+(3501+L12)/2</f>
        <v>3244.5</v>
      </c>
      <c r="M29" s="18">
        <f>+(3531+M12)/2</f>
        <v>2852</v>
      </c>
      <c r="N29" s="18">
        <f>+(4645+N12)/2</f>
        <v>3657</v>
      </c>
      <c r="O29" s="17">
        <f>+(O12+P12)/2</f>
        <v>4707.5</v>
      </c>
      <c r="P29" s="17">
        <f>+(P12+2826)/2</f>
        <v>4645.5</v>
      </c>
    </row>
    <row r="30" spans="2:16" ht="11.25">
      <c r="B30" s="2" t="s">
        <v>17</v>
      </c>
      <c r="C30" s="18">
        <f aca="true" t="shared" si="7" ref="C30:I30">(C15+G15)/2</f>
        <v>0</v>
      </c>
      <c r="D30" s="18">
        <f t="shared" si="7"/>
        <v>0</v>
      </c>
      <c r="E30" s="18">
        <f t="shared" si="7"/>
        <v>0</v>
      </c>
      <c r="F30" s="19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>+(J15+N15)/2</f>
        <v>0</v>
      </c>
      <c r="K30" s="20">
        <f>+(K15+O15)/2</f>
        <v>30</v>
      </c>
      <c r="L30" s="18">
        <f>+(60+L15)/2</f>
        <v>30</v>
      </c>
      <c r="M30" s="18">
        <f>+(60+M15)/2</f>
        <v>30</v>
      </c>
      <c r="N30" s="18">
        <f>+(60+N15)/2</f>
        <v>30</v>
      </c>
      <c r="O30" s="17">
        <f>+(O15+P15)/2</f>
        <v>60</v>
      </c>
      <c r="P30" s="17">
        <f>+(P15+650)/2</f>
        <v>355</v>
      </c>
    </row>
    <row r="31" spans="1:16" ht="11.25">
      <c r="A31" s="3" t="s">
        <v>22</v>
      </c>
      <c r="B31" s="3"/>
      <c r="C31" s="25">
        <f aca="true" t="shared" si="8" ref="C31:I31">(C25+G25)/2</f>
        <v>4353.5</v>
      </c>
      <c r="D31" s="18">
        <f t="shared" si="8"/>
        <v>4010.5</v>
      </c>
      <c r="E31" s="18">
        <f t="shared" si="8"/>
        <v>3752.5</v>
      </c>
      <c r="F31" s="26">
        <f t="shared" si="8"/>
        <v>3957</v>
      </c>
      <c r="G31" s="25">
        <f t="shared" si="8"/>
        <v>4091.5</v>
      </c>
      <c r="H31" s="25">
        <f t="shared" si="8"/>
        <v>3948</v>
      </c>
      <c r="I31" s="25">
        <f t="shared" si="8"/>
        <v>3919.5</v>
      </c>
      <c r="J31" s="25">
        <f>+(J25+N25)/2</f>
        <v>4142</v>
      </c>
      <c r="K31" s="27">
        <f>+(K25+O25)/2</f>
        <v>4193</v>
      </c>
      <c r="L31" s="25">
        <f>+(4254+L25)/2</f>
        <v>4197.5</v>
      </c>
      <c r="M31" s="25">
        <f>+(4162+M25)/2</f>
        <v>4121</v>
      </c>
      <c r="N31" s="25">
        <f>+(4095+N25)/2</f>
        <v>4092.5</v>
      </c>
      <c r="O31" s="25">
        <f>+(O25+P25)/2</f>
        <v>4082.5</v>
      </c>
      <c r="P31" s="25">
        <f>+(P25+3876)/2</f>
        <v>3957.5</v>
      </c>
    </row>
    <row r="32" spans="1:16" ht="11.25">
      <c r="A32" s="11" t="s">
        <v>25</v>
      </c>
      <c r="D32" s="5"/>
      <c r="E32" s="29"/>
      <c r="F32" s="28"/>
      <c r="K32" s="20"/>
      <c r="L32" s="18"/>
      <c r="M32" s="18"/>
      <c r="N32" s="18"/>
      <c r="O32" s="17"/>
      <c r="P32" s="17"/>
    </row>
    <row r="33" spans="1:16" ht="11.25">
      <c r="A33" s="2" t="s">
        <v>26</v>
      </c>
      <c r="C33" s="17">
        <v>331</v>
      </c>
      <c r="D33" s="4">
        <v>585</v>
      </c>
      <c r="E33" s="18">
        <v>515</v>
      </c>
      <c r="F33" s="19">
        <v>265</v>
      </c>
      <c r="G33" s="17">
        <v>1123</v>
      </c>
      <c r="H33" s="17">
        <v>796</v>
      </c>
      <c r="I33" s="17">
        <v>545</v>
      </c>
      <c r="J33" s="17">
        <v>317</v>
      </c>
      <c r="K33" s="20">
        <v>997</v>
      </c>
      <c r="L33" s="18">
        <v>688</v>
      </c>
      <c r="M33" s="18">
        <v>395</v>
      </c>
      <c r="N33" s="18">
        <v>201</v>
      </c>
      <c r="O33" s="17">
        <v>1454</v>
      </c>
      <c r="P33" s="17">
        <v>1949</v>
      </c>
    </row>
    <row r="34" spans="1:16" ht="11.25">
      <c r="A34" s="2" t="s">
        <v>27</v>
      </c>
      <c r="C34" s="17">
        <v>1547</v>
      </c>
      <c r="D34" s="24">
        <v>1177</v>
      </c>
      <c r="E34" s="18">
        <v>768</v>
      </c>
      <c r="F34" s="19">
        <v>382</v>
      </c>
      <c r="G34" s="17">
        <v>1008</v>
      </c>
      <c r="H34" s="17">
        <v>705</v>
      </c>
      <c r="I34" s="17">
        <v>391</v>
      </c>
      <c r="J34" s="17">
        <v>184</v>
      </c>
      <c r="K34" s="20">
        <v>629</v>
      </c>
      <c r="L34" s="18">
        <v>454</v>
      </c>
      <c r="M34" s="18">
        <v>228</v>
      </c>
      <c r="N34" s="18">
        <v>107</v>
      </c>
      <c r="O34" s="17">
        <v>432</v>
      </c>
      <c r="P34" s="17">
        <v>1795</v>
      </c>
    </row>
    <row r="35" spans="1:16" ht="11.25">
      <c r="A35" s="2" t="s">
        <v>28</v>
      </c>
      <c r="C35" s="17">
        <f>+C33-C34</f>
        <v>-1216</v>
      </c>
      <c r="D35" s="18">
        <f>+D33-D34</f>
        <v>-592</v>
      </c>
      <c r="E35" s="18">
        <f>+E33-E34</f>
        <v>-253</v>
      </c>
      <c r="F35" s="19">
        <f>+F33-F34</f>
        <v>-117</v>
      </c>
      <c r="G35" s="17">
        <f aca="true" t="shared" si="9" ref="G35:P35">G33-G34</f>
        <v>115</v>
      </c>
      <c r="H35" s="17">
        <f t="shared" si="9"/>
        <v>91</v>
      </c>
      <c r="I35" s="17">
        <f t="shared" si="9"/>
        <v>154</v>
      </c>
      <c r="J35" s="17">
        <f t="shared" si="9"/>
        <v>133</v>
      </c>
      <c r="K35" s="20">
        <f t="shared" si="9"/>
        <v>368</v>
      </c>
      <c r="L35" s="18">
        <f t="shared" si="9"/>
        <v>234</v>
      </c>
      <c r="M35" s="18">
        <f t="shared" si="9"/>
        <v>167</v>
      </c>
      <c r="N35" s="18">
        <f t="shared" si="9"/>
        <v>94</v>
      </c>
      <c r="O35" s="17">
        <f t="shared" si="9"/>
        <v>1022</v>
      </c>
      <c r="P35" s="17">
        <f t="shared" si="9"/>
        <v>154</v>
      </c>
    </row>
    <row r="36" spans="1:16" ht="11.25">
      <c r="A36" s="2" t="s">
        <v>29</v>
      </c>
      <c r="C36" s="17">
        <v>2617</v>
      </c>
      <c r="D36" s="24">
        <v>1311</v>
      </c>
      <c r="E36" s="18">
        <v>350</v>
      </c>
      <c r="F36" s="19">
        <v>60</v>
      </c>
      <c r="G36" s="17">
        <v>523</v>
      </c>
      <c r="H36" s="17">
        <v>263</v>
      </c>
      <c r="I36" s="17">
        <v>110</v>
      </c>
      <c r="J36" s="17">
        <v>74</v>
      </c>
      <c r="K36" s="20">
        <v>345</v>
      </c>
      <c r="L36" s="18">
        <v>203</v>
      </c>
      <c r="M36" s="18">
        <v>11</v>
      </c>
      <c r="N36" s="18">
        <v>8</v>
      </c>
      <c r="O36" s="17">
        <v>82</v>
      </c>
      <c r="P36" s="17">
        <v>53</v>
      </c>
    </row>
    <row r="37" spans="1:16" ht="11.25">
      <c r="A37" s="2" t="s">
        <v>30</v>
      </c>
      <c r="C37" s="17">
        <f>+C36+C35</f>
        <v>1401</v>
      </c>
      <c r="D37" s="18">
        <f>+D36+D35</f>
        <v>719</v>
      </c>
      <c r="E37" s="18">
        <f>+E36+E35</f>
        <v>97</v>
      </c>
      <c r="F37" s="19">
        <f>+F36+F35</f>
        <v>-57</v>
      </c>
      <c r="G37" s="17">
        <f>+G35+G36</f>
        <v>638</v>
      </c>
      <c r="H37" s="17">
        <f aca="true" t="shared" si="10" ref="H37:P37">H35+H36</f>
        <v>354</v>
      </c>
      <c r="I37" s="17">
        <f t="shared" si="10"/>
        <v>264</v>
      </c>
      <c r="J37" s="17">
        <f t="shared" si="10"/>
        <v>207</v>
      </c>
      <c r="K37" s="20">
        <f t="shared" si="10"/>
        <v>713</v>
      </c>
      <c r="L37" s="18">
        <f t="shared" si="10"/>
        <v>437</v>
      </c>
      <c r="M37" s="18">
        <f t="shared" si="10"/>
        <v>178</v>
      </c>
      <c r="N37" s="18">
        <f t="shared" si="10"/>
        <v>102</v>
      </c>
      <c r="O37" s="17">
        <f t="shared" si="10"/>
        <v>1104</v>
      </c>
      <c r="P37" s="17">
        <f t="shared" si="10"/>
        <v>207</v>
      </c>
    </row>
    <row r="38" spans="1:16" ht="11.25">
      <c r="A38" s="2" t="s">
        <v>31</v>
      </c>
      <c r="C38" s="17">
        <v>540</v>
      </c>
      <c r="D38" s="4">
        <v>375</v>
      </c>
      <c r="E38" s="18">
        <v>272</v>
      </c>
      <c r="F38" s="19">
        <v>147</v>
      </c>
      <c r="G38" s="17">
        <v>418</v>
      </c>
      <c r="H38" s="17">
        <v>303</v>
      </c>
      <c r="I38" s="17">
        <v>210</v>
      </c>
      <c r="J38" s="17">
        <v>122</v>
      </c>
      <c r="K38" s="20">
        <v>559</v>
      </c>
      <c r="L38" s="18">
        <v>401</v>
      </c>
      <c r="M38" s="18">
        <v>204</v>
      </c>
      <c r="N38" s="18">
        <v>118</v>
      </c>
      <c r="O38" s="17">
        <v>442</v>
      </c>
      <c r="P38" s="17">
        <v>412</v>
      </c>
    </row>
    <row r="39" spans="1:16" ht="11.25">
      <c r="A39" s="2" t="s">
        <v>32</v>
      </c>
      <c r="C39" s="17">
        <f>+C37-C38</f>
        <v>861</v>
      </c>
      <c r="D39" s="18">
        <f>+D37-D38</f>
        <v>344</v>
      </c>
      <c r="E39" s="18">
        <f>+E37-E38</f>
        <v>-175</v>
      </c>
      <c r="F39" s="19">
        <f>+F37-F38</f>
        <v>-204</v>
      </c>
      <c r="G39" s="17">
        <f>+G37-G38</f>
        <v>220</v>
      </c>
      <c r="H39" s="17">
        <f>H37-H38</f>
        <v>51</v>
      </c>
      <c r="I39" s="17">
        <v>55</v>
      </c>
      <c r="J39" s="17">
        <f aca="true" t="shared" si="11" ref="J39:P39">J37-J38</f>
        <v>85</v>
      </c>
      <c r="K39" s="20">
        <f t="shared" si="11"/>
        <v>154</v>
      </c>
      <c r="L39" s="18">
        <f t="shared" si="11"/>
        <v>36</v>
      </c>
      <c r="M39" s="18">
        <f t="shared" si="11"/>
        <v>-26</v>
      </c>
      <c r="N39" s="18">
        <f t="shared" si="11"/>
        <v>-16</v>
      </c>
      <c r="O39" s="17">
        <f t="shared" si="11"/>
        <v>662</v>
      </c>
      <c r="P39" s="17">
        <f t="shared" si="11"/>
        <v>-205</v>
      </c>
    </row>
    <row r="40" spans="1:16" ht="11.25">
      <c r="A40" s="3" t="s">
        <v>33</v>
      </c>
      <c r="B40" s="3"/>
      <c r="C40" s="25">
        <f>+C39</f>
        <v>861</v>
      </c>
      <c r="D40" s="3">
        <v>343</v>
      </c>
      <c r="E40" s="25">
        <v>-176</v>
      </c>
      <c r="F40" s="26">
        <v>-204</v>
      </c>
      <c r="G40" s="25">
        <v>220</v>
      </c>
      <c r="H40" s="25">
        <v>51</v>
      </c>
      <c r="I40" s="25">
        <v>55</v>
      </c>
      <c r="J40" s="25">
        <v>85</v>
      </c>
      <c r="K40" s="27">
        <v>154</v>
      </c>
      <c r="L40" s="25">
        <v>36</v>
      </c>
      <c r="M40" s="25">
        <v>-26</v>
      </c>
      <c r="N40" s="25">
        <v>-16</v>
      </c>
      <c r="O40" s="25">
        <v>289</v>
      </c>
      <c r="P40" s="25">
        <v>204</v>
      </c>
    </row>
    <row r="41" spans="1:16" ht="11.25">
      <c r="A41" s="30" t="s">
        <v>34</v>
      </c>
      <c r="B41" s="5"/>
      <c r="C41" s="4"/>
      <c r="D41" s="4"/>
      <c r="E41" s="18"/>
      <c r="F41" s="28"/>
      <c r="G41" s="4"/>
      <c r="H41" s="18"/>
      <c r="I41" s="17"/>
      <c r="J41" s="5"/>
      <c r="K41" s="31"/>
      <c r="L41" s="5"/>
      <c r="M41" s="5"/>
      <c r="N41" s="4"/>
      <c r="O41" s="5"/>
      <c r="P41" s="5"/>
    </row>
    <row r="42" spans="1:16" ht="11.25">
      <c r="A42" s="4" t="s">
        <v>35</v>
      </c>
      <c r="B42" s="4"/>
      <c r="C42" s="4">
        <v>400</v>
      </c>
      <c r="D42" s="4">
        <v>175</v>
      </c>
      <c r="E42" s="18">
        <v>0</v>
      </c>
      <c r="F42" s="19">
        <v>0</v>
      </c>
      <c r="G42" s="18">
        <v>552</v>
      </c>
      <c r="H42" s="18">
        <v>893</v>
      </c>
      <c r="I42" s="17">
        <v>730</v>
      </c>
      <c r="J42" s="18">
        <v>721</v>
      </c>
      <c r="K42" s="20">
        <v>664</v>
      </c>
      <c r="L42" s="18">
        <v>939</v>
      </c>
      <c r="M42" s="18">
        <v>1044</v>
      </c>
      <c r="N42" s="18">
        <v>1407</v>
      </c>
      <c r="O42" s="18">
        <v>1297</v>
      </c>
      <c r="P42" s="18">
        <v>554</v>
      </c>
    </row>
    <row r="43" spans="1:16" ht="11.25">
      <c r="A43" s="4" t="s">
        <v>36</v>
      </c>
      <c r="B43" s="4"/>
      <c r="C43" s="4">
        <v>654</v>
      </c>
      <c r="D43" s="4">
        <v>654</v>
      </c>
      <c r="E43" s="18">
        <v>653</v>
      </c>
      <c r="F43" s="19">
        <v>654</v>
      </c>
      <c r="G43" s="18">
        <v>654</v>
      </c>
      <c r="H43" s="18">
        <v>654</v>
      </c>
      <c r="I43" s="17">
        <v>654</v>
      </c>
      <c r="J43" s="18">
        <v>249</v>
      </c>
      <c r="K43" s="20">
        <v>200</v>
      </c>
      <c r="L43" s="18">
        <v>200</v>
      </c>
      <c r="M43" s="18">
        <v>200</v>
      </c>
      <c r="N43" s="18">
        <v>200</v>
      </c>
      <c r="O43" s="18">
        <v>200</v>
      </c>
      <c r="P43" s="18">
        <v>0</v>
      </c>
    </row>
    <row r="44" spans="1:16" ht="11.25">
      <c r="A44" s="4" t="s">
        <v>37</v>
      </c>
      <c r="B44" s="4"/>
      <c r="C44" s="32">
        <f aca="true" t="shared" si="12" ref="C44:P44">C42/C12</f>
        <v>0.03245699448231094</v>
      </c>
      <c r="D44" s="32">
        <f t="shared" si="12"/>
        <v>0.01464190093708166</v>
      </c>
      <c r="E44" s="32">
        <f t="shared" si="12"/>
        <v>0</v>
      </c>
      <c r="F44" s="33">
        <f t="shared" si="12"/>
        <v>0</v>
      </c>
      <c r="G44" s="34">
        <f t="shared" si="12"/>
        <v>0.11024565608148593</v>
      </c>
      <c r="H44" s="34">
        <f t="shared" si="12"/>
        <v>0.17492654260528892</v>
      </c>
      <c r="I44" s="34">
        <f t="shared" si="12"/>
        <v>0.13594040968342644</v>
      </c>
      <c r="J44" s="32">
        <f t="shared" si="12"/>
        <v>0.15346956151553853</v>
      </c>
      <c r="K44" s="35">
        <f t="shared" si="12"/>
        <v>0.11710758377425044</v>
      </c>
      <c r="L44" s="32">
        <f t="shared" si="12"/>
        <v>0.3142570281124498</v>
      </c>
      <c r="M44" s="32">
        <f t="shared" si="12"/>
        <v>0.48044178554993094</v>
      </c>
      <c r="N44" s="32">
        <f t="shared" si="12"/>
        <v>0.5271637317347321</v>
      </c>
      <c r="O44" s="32">
        <f t="shared" si="12"/>
        <v>0.43966101694915255</v>
      </c>
      <c r="P44" s="32">
        <f t="shared" si="12"/>
        <v>0.08569218870843001</v>
      </c>
    </row>
    <row r="45" spans="1:16" ht="11.25">
      <c r="A45" s="4" t="s">
        <v>38</v>
      </c>
      <c r="B45" s="4"/>
      <c r="C45" s="32">
        <f>C43/C42</f>
        <v>1.635</v>
      </c>
      <c r="D45" s="32">
        <f>D43/D42</f>
        <v>3.737142857142857</v>
      </c>
      <c r="E45" s="32">
        <v>0</v>
      </c>
      <c r="F45" s="32">
        <v>0</v>
      </c>
      <c r="G45" s="32">
        <f aca="true" t="shared" si="13" ref="G45:P45">+G43/G42</f>
        <v>1.184782608695652</v>
      </c>
      <c r="H45" s="32">
        <f t="shared" si="13"/>
        <v>0.7323628219484882</v>
      </c>
      <c r="I45" s="32">
        <f t="shared" si="13"/>
        <v>0.8958904109589041</v>
      </c>
      <c r="J45" s="32">
        <f t="shared" si="13"/>
        <v>0.34535367545076284</v>
      </c>
      <c r="K45" s="35">
        <f t="shared" si="13"/>
        <v>0.30120481927710846</v>
      </c>
      <c r="L45" s="32">
        <f t="shared" si="13"/>
        <v>0.21299254526091588</v>
      </c>
      <c r="M45" s="32">
        <f t="shared" si="13"/>
        <v>0.19157088122605365</v>
      </c>
      <c r="N45" s="32">
        <f t="shared" si="13"/>
        <v>0.14214641080312723</v>
      </c>
      <c r="O45" s="32">
        <f t="shared" si="13"/>
        <v>0.15420200462606015</v>
      </c>
      <c r="P45" s="32">
        <f t="shared" si="13"/>
        <v>0</v>
      </c>
    </row>
    <row r="46" spans="1:17" ht="11.25">
      <c r="A46" s="3" t="s">
        <v>39</v>
      </c>
      <c r="B46" s="3"/>
      <c r="C46" s="36">
        <f aca="true" t="shared" si="14" ref="C46:I46">C43/C12</f>
        <v>0.05306718597857838</v>
      </c>
      <c r="D46" s="36">
        <f t="shared" si="14"/>
        <v>0.05471887550200803</v>
      </c>
      <c r="E46" s="36">
        <f t="shared" si="14"/>
        <v>0.07918991025951977</v>
      </c>
      <c r="F46" s="37">
        <f t="shared" si="14"/>
        <v>0.16244411326378538</v>
      </c>
      <c r="G46" s="36">
        <f t="shared" si="14"/>
        <v>0.13061713600958658</v>
      </c>
      <c r="H46" s="36">
        <f t="shared" si="14"/>
        <v>0.12810969637610187</v>
      </c>
      <c r="I46" s="36">
        <f t="shared" si="14"/>
        <v>0.1217877094972067</v>
      </c>
      <c r="J46" s="36">
        <f aca="true" t="shared" si="15" ref="J46:P46">+J43/J12</f>
        <v>0.05300127713920817</v>
      </c>
      <c r="K46" s="38">
        <f t="shared" si="15"/>
        <v>0.03527336860670194</v>
      </c>
      <c r="L46" s="36">
        <f t="shared" si="15"/>
        <v>0.06693440428380187</v>
      </c>
      <c r="M46" s="36">
        <f t="shared" si="15"/>
        <v>0.09203865623561897</v>
      </c>
      <c r="N46" s="36">
        <f t="shared" si="15"/>
        <v>0.07493443237167478</v>
      </c>
      <c r="O46" s="36">
        <f t="shared" si="15"/>
        <v>0.06779661016949153</v>
      </c>
      <c r="P46" s="36">
        <f t="shared" si="15"/>
        <v>0</v>
      </c>
      <c r="Q46" s="32"/>
    </row>
    <row r="47" spans="1:16" ht="11.25">
      <c r="A47" s="39" t="s">
        <v>40</v>
      </c>
      <c r="B47" s="40"/>
      <c r="C47" s="40"/>
      <c r="D47" s="4"/>
      <c r="E47" s="18"/>
      <c r="F47" s="41"/>
      <c r="G47" s="42"/>
      <c r="H47" s="42"/>
      <c r="I47" s="42"/>
      <c r="J47" s="43"/>
      <c r="K47" s="44"/>
      <c r="L47" s="42"/>
      <c r="M47" s="42"/>
      <c r="N47" s="45"/>
      <c r="O47" s="42"/>
      <c r="P47" s="42"/>
    </row>
    <row r="48" spans="1:16" ht="11.25">
      <c r="A48" s="40" t="s">
        <v>41</v>
      </c>
      <c r="B48" s="40"/>
      <c r="C48" s="32">
        <f aca="true" t="shared" si="16" ref="C48:P48">+C25/C12</f>
        <v>0.3881856540084388</v>
      </c>
      <c r="D48" s="32">
        <f t="shared" si="16"/>
        <v>0.3569277108433735</v>
      </c>
      <c r="E48" s="32">
        <f t="shared" si="16"/>
        <v>0.4542808634489449</v>
      </c>
      <c r="F48" s="46">
        <f t="shared" si="16"/>
        <v>0.9239940387481371</v>
      </c>
      <c r="G48" s="47">
        <f t="shared" si="16"/>
        <v>0.7835030956660675</v>
      </c>
      <c r="H48" s="47">
        <f t="shared" si="16"/>
        <v>0.7355533790401567</v>
      </c>
      <c r="I48" s="47">
        <f t="shared" si="16"/>
        <v>0.7</v>
      </c>
      <c r="J48" s="46">
        <f t="shared" si="16"/>
        <v>0.89272030651341</v>
      </c>
      <c r="K48" s="48">
        <f t="shared" si="16"/>
        <v>0.7513227513227513</v>
      </c>
      <c r="L48" s="47">
        <f t="shared" si="16"/>
        <v>1.3858768406961177</v>
      </c>
      <c r="M48" s="47">
        <f t="shared" si="16"/>
        <v>1.8775885872066267</v>
      </c>
      <c r="N48" s="47">
        <f t="shared" si="16"/>
        <v>1.5324091420007493</v>
      </c>
      <c r="O48" s="47">
        <f t="shared" si="16"/>
        <v>1.39864406779661</v>
      </c>
      <c r="P48" s="47">
        <f t="shared" si="16"/>
        <v>0.6247486465583914</v>
      </c>
    </row>
    <row r="49" spans="1:16" ht="11.25">
      <c r="A49" s="49" t="s">
        <v>42</v>
      </c>
      <c r="B49" s="49"/>
      <c r="C49" s="36">
        <f aca="true" t="shared" si="17" ref="C49:P49">C25/(C12+C15)</f>
        <v>0.3881856540084388</v>
      </c>
      <c r="D49" s="36">
        <f t="shared" si="17"/>
        <v>0.3569277108433735</v>
      </c>
      <c r="E49" s="36">
        <f t="shared" si="17"/>
        <v>0.4542808634489449</v>
      </c>
      <c r="F49" s="50">
        <f t="shared" si="17"/>
        <v>0.9239940387481371</v>
      </c>
      <c r="G49" s="51">
        <f t="shared" si="17"/>
        <v>0.7835030956660675</v>
      </c>
      <c r="H49" s="51">
        <f t="shared" si="17"/>
        <v>0.7355533790401567</v>
      </c>
      <c r="I49" s="51">
        <f t="shared" si="17"/>
        <v>0.7</v>
      </c>
      <c r="J49" s="50">
        <f t="shared" si="17"/>
        <v>0.89272030651341</v>
      </c>
      <c r="K49" s="52">
        <f t="shared" si="17"/>
        <v>0.7513227513227513</v>
      </c>
      <c r="L49" s="51">
        <f t="shared" si="17"/>
        <v>1.3858768406961177</v>
      </c>
      <c r="M49" s="51">
        <f t="shared" si="17"/>
        <v>1.8775885872066267</v>
      </c>
      <c r="N49" s="51">
        <f t="shared" si="17"/>
        <v>1.5324091420007493</v>
      </c>
      <c r="O49" s="51">
        <f t="shared" si="17"/>
        <v>1.370764119601329</v>
      </c>
      <c r="P49" s="51">
        <f t="shared" si="17"/>
        <v>0.6190038314176245</v>
      </c>
    </row>
    <row r="50" spans="1:14" ht="11.25">
      <c r="A50" s="11" t="s">
        <v>43</v>
      </c>
      <c r="C50" s="18"/>
      <c r="D50" s="18"/>
      <c r="E50" s="18"/>
      <c r="F50" s="28"/>
      <c r="K50" s="53"/>
      <c r="L50" s="4"/>
      <c r="M50" s="4"/>
      <c r="N50" s="4"/>
    </row>
    <row r="51" spans="1:16" ht="11.25">
      <c r="A51" s="2" t="s">
        <v>44</v>
      </c>
      <c r="C51" s="32">
        <f aca="true" t="shared" si="18" ref="C51:P51">C11/C16</f>
        <v>0.5367447471599477</v>
      </c>
      <c r="D51" s="32">
        <f t="shared" si="18"/>
        <v>0.5972924267065184</v>
      </c>
      <c r="E51" s="32">
        <f t="shared" si="18"/>
        <v>0.7978818373640643</v>
      </c>
      <c r="F51" s="54">
        <f t="shared" si="18"/>
        <v>0.9851600787798287</v>
      </c>
      <c r="G51" s="55">
        <f t="shared" si="18"/>
        <v>0.9393840104849279</v>
      </c>
      <c r="H51" s="55">
        <f t="shared" si="18"/>
        <v>0.877949099015419</v>
      </c>
      <c r="I51" s="55">
        <f t="shared" si="18"/>
        <v>0.8873262603832552</v>
      </c>
      <c r="J51" s="34">
        <f t="shared" si="18"/>
        <v>0.9401362169912774</v>
      </c>
      <c r="K51" s="35">
        <f t="shared" si="18"/>
        <v>0.771089327626674</v>
      </c>
      <c r="L51" s="32">
        <f t="shared" si="18"/>
        <v>1.1351439790575917</v>
      </c>
      <c r="M51" s="32">
        <f t="shared" si="18"/>
        <v>1.2911047128352782</v>
      </c>
      <c r="N51" s="32">
        <f t="shared" si="18"/>
        <v>1.1792269488231484</v>
      </c>
      <c r="O51" s="34">
        <f t="shared" si="18"/>
        <v>1.1761049723756907</v>
      </c>
      <c r="P51" s="34">
        <f t="shared" si="18"/>
        <v>0.7609395867703669</v>
      </c>
    </row>
    <row r="52" spans="1:16" ht="11.25">
      <c r="A52" s="2" t="s">
        <v>45</v>
      </c>
      <c r="C52" s="32">
        <f aca="true" t="shared" si="19" ref="C52:P52">C11/C10</f>
        <v>0.1881088699022285</v>
      </c>
      <c r="D52" s="32">
        <f t="shared" si="19"/>
        <v>0.3031634838479386</v>
      </c>
      <c r="E52" s="32">
        <f t="shared" si="19"/>
        <v>0.6095353234756192</v>
      </c>
      <c r="F52" s="54">
        <f t="shared" si="19"/>
        <v>0.7791422154604072</v>
      </c>
      <c r="G52" s="55">
        <f t="shared" si="19"/>
        <v>0.6970581084366643</v>
      </c>
      <c r="H52" s="55">
        <f t="shared" si="19"/>
        <v>0.5724668402882926</v>
      </c>
      <c r="I52" s="55">
        <f t="shared" si="19"/>
        <v>0.6100305326246749</v>
      </c>
      <c r="J52" s="34">
        <f t="shared" si="19"/>
        <v>0.5980995819080198</v>
      </c>
      <c r="K52" s="35">
        <f t="shared" si="19"/>
        <v>0.4708709215074614</v>
      </c>
      <c r="L52" s="32">
        <f t="shared" si="19"/>
        <v>0.7429326099371788</v>
      </c>
      <c r="M52" s="32">
        <f t="shared" si="19"/>
        <v>0.735306809355312</v>
      </c>
      <c r="N52" s="32">
        <f t="shared" si="19"/>
        <v>0.6026928595077806</v>
      </c>
      <c r="O52" s="34">
        <f t="shared" si="19"/>
        <v>0.5628511622782858</v>
      </c>
      <c r="P52" s="34">
        <f t="shared" si="19"/>
        <v>0.5245031678128553</v>
      </c>
    </row>
    <row r="53" spans="1:16" ht="11.25">
      <c r="A53" s="3" t="s">
        <v>46</v>
      </c>
      <c r="B53" s="3"/>
      <c r="C53" s="36">
        <f aca="true" t="shared" si="20" ref="C53:P53">(C11+C15)/C16</f>
        <v>0.5367447471599477</v>
      </c>
      <c r="D53" s="36">
        <f t="shared" si="20"/>
        <v>0.5972924267065184</v>
      </c>
      <c r="E53" s="36">
        <f t="shared" si="20"/>
        <v>0.7978818373640643</v>
      </c>
      <c r="F53" s="56">
        <f t="shared" si="20"/>
        <v>0.9851600787798287</v>
      </c>
      <c r="G53" s="57">
        <f t="shared" si="20"/>
        <v>0.9393840104849279</v>
      </c>
      <c r="H53" s="57">
        <f t="shared" si="20"/>
        <v>0.877949099015419</v>
      </c>
      <c r="I53" s="57">
        <f t="shared" si="20"/>
        <v>0.8873262603832552</v>
      </c>
      <c r="J53" s="36">
        <f t="shared" si="20"/>
        <v>0.9401362169912774</v>
      </c>
      <c r="K53" s="38">
        <f t="shared" si="20"/>
        <v>0.771089327626674</v>
      </c>
      <c r="L53" s="36">
        <f t="shared" si="20"/>
        <v>1.1351439790575917</v>
      </c>
      <c r="M53" s="36">
        <f t="shared" si="20"/>
        <v>1.2911047128352782</v>
      </c>
      <c r="N53" s="36">
        <f t="shared" si="20"/>
        <v>1.1792269488231484</v>
      </c>
      <c r="O53" s="36">
        <f t="shared" si="20"/>
        <v>1.1899171270718232</v>
      </c>
      <c r="P53" s="36">
        <f t="shared" si="20"/>
        <v>0.7656532327755519</v>
      </c>
    </row>
    <row r="54" spans="1:14" ht="11.25">
      <c r="A54" s="11" t="s">
        <v>47</v>
      </c>
      <c r="D54" s="18"/>
      <c r="E54" s="18"/>
      <c r="F54" s="28"/>
      <c r="K54" s="53"/>
      <c r="L54" s="4"/>
      <c r="M54" s="4"/>
      <c r="N54" s="4"/>
    </row>
    <row r="55" spans="1:16" ht="11.25">
      <c r="A55" s="2" t="s">
        <v>48</v>
      </c>
      <c r="B55" s="4"/>
      <c r="C55" s="47">
        <f>C40/C28</f>
        <v>0.09935952916738791</v>
      </c>
      <c r="D55" s="32">
        <f>(D40/0.75)/D28</f>
        <v>0.05362412303843974</v>
      </c>
      <c r="E55" s="32">
        <f>((E40)/0.5)/E28</f>
        <v>-0.05170387779083431</v>
      </c>
      <c r="F55" s="33">
        <f>((F40)/0.25)/F28</f>
        <v>-0.18707015130674004</v>
      </c>
      <c r="G55" s="47">
        <f>G40/G28</f>
        <v>0.0412100777371921</v>
      </c>
      <c r="H55" s="47">
        <f>(H40/0.75)/H28</f>
        <v>0.016804645990362042</v>
      </c>
      <c r="I55" s="34">
        <f>(I40/0.5)/I28</f>
        <v>0.029166114278138672</v>
      </c>
      <c r="J55" s="34">
        <f>((J40)/0.25)/J28</f>
        <v>0.09230351567802361</v>
      </c>
      <c r="K55" s="48">
        <f>K40/K28</f>
        <v>0.035483870967741936</v>
      </c>
      <c r="L55" s="47">
        <f>(L40/0.75)/L28</f>
        <v>0.014658726523133303</v>
      </c>
      <c r="M55" s="47">
        <f>(M40/0.5)/M28</f>
        <v>-0.018043025676613464</v>
      </c>
      <c r="N55" s="32">
        <f>((N40)/0.25)/N28</f>
        <v>-0.01735828586927041</v>
      </c>
      <c r="O55" s="34">
        <f>O40/O28</f>
        <v>0.060618772941793395</v>
      </c>
      <c r="P55" s="34">
        <f>P40/P28</f>
        <v>0.04079592040795921</v>
      </c>
    </row>
    <row r="56" spans="1:16" ht="11.25">
      <c r="A56" s="2" t="s">
        <v>49</v>
      </c>
      <c r="B56" s="4"/>
      <c r="C56" s="47">
        <f>C40/C27</f>
        <v>0.021143621919624767</v>
      </c>
      <c r="D56" s="32">
        <f>(D40/0.75)/D27</f>
        <v>0.01491263824352599</v>
      </c>
      <c r="E56" s="32">
        <f>((E40)/0.5)/E27</f>
        <v>-0.014095505055561118</v>
      </c>
      <c r="F56" s="33">
        <f>((F40)/0.25)/F27</f>
        <v>-0.04003827187752999</v>
      </c>
      <c r="G56" s="47">
        <f>G40/G27</f>
        <v>0.012041927803169216</v>
      </c>
      <c r="H56" s="47">
        <f>(H40/0.75)/H27</f>
        <v>0.004456240374848455</v>
      </c>
      <c r="I56" s="34">
        <f>(I40/0.5)/I27</f>
        <v>0.007515457930516175</v>
      </c>
      <c r="J56" s="34">
        <f>((J40)/0.25)/J27</f>
        <v>0.030608570399711918</v>
      </c>
      <c r="K56" s="48">
        <f>K40/K27</f>
        <v>0.014710096475308052</v>
      </c>
      <c r="L56" s="47">
        <f>(L40/0.75)/L27</f>
        <v>0.0041508128675198895</v>
      </c>
      <c r="M56" s="47">
        <f>(M40/0.5)/M27</f>
        <v>-0.004973934669281171</v>
      </c>
      <c r="N56" s="32">
        <f>((N40)/0.25)/N27</f>
        <v>-0.004814745157043446</v>
      </c>
      <c r="O56" s="34">
        <f>O40/O27</f>
        <v>0.020984606447865234</v>
      </c>
      <c r="P56" s="34">
        <f>P40/P27</f>
        <v>0.010180402724754846</v>
      </c>
    </row>
    <row r="57" spans="1:16" ht="11.25">
      <c r="A57" s="2" t="s">
        <v>50</v>
      </c>
      <c r="B57" s="4"/>
      <c r="C57" s="47">
        <f>+C40/C31</f>
        <v>0.19777190766050304</v>
      </c>
      <c r="D57" s="32">
        <f>(D40/0.75)/D31</f>
        <v>0.11403399409882392</v>
      </c>
      <c r="E57" s="32">
        <f>((E40)/0.5)/E31</f>
        <v>-0.09380413057961359</v>
      </c>
      <c r="F57" s="33">
        <f>((F40)/0.25)/F31</f>
        <v>-0.20621683093252463</v>
      </c>
      <c r="G57" s="47">
        <f>+G40/G31</f>
        <v>0.05377001099841134</v>
      </c>
      <c r="H57" s="47">
        <f>(H40/0.75)/H31</f>
        <v>0.017223910840932118</v>
      </c>
      <c r="I57" s="34">
        <f>(I40/0.5)/I31</f>
        <v>0.02806480418420717</v>
      </c>
      <c r="J57" s="34">
        <f>((J40)/0.25)/J31</f>
        <v>0.08208594881699662</v>
      </c>
      <c r="K57" s="48">
        <f>+K40/K31</f>
        <v>0.03672787979966611</v>
      </c>
      <c r="L57" s="47">
        <f>(L40/0.75)/L31</f>
        <v>0.011435378201310303</v>
      </c>
      <c r="M57" s="47">
        <f>(M40/0.5)/M31</f>
        <v>-0.012618296529968454</v>
      </c>
      <c r="N57" s="32">
        <f>((N40)/0.25)/N31</f>
        <v>-0.01563836285888821</v>
      </c>
      <c r="O57" s="34">
        <f>O40/O31</f>
        <v>0.070789957134109</v>
      </c>
      <c r="P57" s="34">
        <f>P40/P31</f>
        <v>0.051547694251421354</v>
      </c>
    </row>
    <row r="58" spans="1:16" ht="11.25">
      <c r="A58" s="2" t="s">
        <v>51</v>
      </c>
      <c r="B58" s="4"/>
      <c r="C58" s="47">
        <f>C33/C28</f>
        <v>0.038197449656684555</v>
      </c>
      <c r="D58" s="32">
        <f>(D33/0.75)/D28</f>
        <v>0.09145805241249927</v>
      </c>
      <c r="E58" s="32">
        <f>((E33)/0.5)/E28</f>
        <v>0.15129259694477085</v>
      </c>
      <c r="F58" s="33">
        <f>((F33)/0.25)/F28</f>
        <v>0.24300779458963778</v>
      </c>
      <c r="G58" s="47">
        <f>G33/G28</f>
        <v>0.21035871499484873</v>
      </c>
      <c r="H58" s="47">
        <f>(H33/0.75)/H28</f>
        <v>0.2622842785946703</v>
      </c>
      <c r="I58" s="34">
        <f>(I33/0.5)/I28</f>
        <v>0.2890096778470105</v>
      </c>
      <c r="J58" s="34">
        <f>((J33)/0.25)/J28</f>
        <v>0.34423781729333514</v>
      </c>
      <c r="K58" s="48">
        <f>K33/K28</f>
        <v>0.22972350230414745</v>
      </c>
      <c r="L58" s="47">
        <f>(L33/0.75)/L28</f>
        <v>0.28014455133099203</v>
      </c>
      <c r="M58" s="47">
        <f>(M33/0.5)/M28</f>
        <v>0.2741151977793199</v>
      </c>
      <c r="N58" s="32">
        <f>((N33)/0.25)/N28</f>
        <v>0.21806346623270953</v>
      </c>
      <c r="O58" s="34">
        <f>O33/O28</f>
        <v>0.3049816465652858</v>
      </c>
      <c r="P58" s="34">
        <f>P33/P27</f>
        <v>0.097262769169349</v>
      </c>
    </row>
    <row r="59" spans="1:16" ht="11.25">
      <c r="A59" s="2" t="s">
        <v>52</v>
      </c>
      <c r="B59" s="4"/>
      <c r="C59" s="47">
        <f>C34/C28</f>
        <v>0.1785240320812417</v>
      </c>
      <c r="D59" s="32">
        <f>(D34/0.75)/D28</f>
        <v>0.18401047468292586</v>
      </c>
      <c r="E59" s="32">
        <f>((E34)/0.5)/E28</f>
        <v>0.2256169212690952</v>
      </c>
      <c r="F59" s="33">
        <f>((F34)/0.25)/F28</f>
        <v>0.35029802842732694</v>
      </c>
      <c r="G59" s="47">
        <f>G34/G28</f>
        <v>0.18881708345040743</v>
      </c>
      <c r="H59" s="47">
        <f>(H34/0.75)/H28</f>
        <v>0.2322995181020635</v>
      </c>
      <c r="I59" s="34">
        <f>(I34/0.5)/I28</f>
        <v>0.2073445578682222</v>
      </c>
      <c r="J59" s="34">
        <f>((J34)/0.25)/J28</f>
        <v>0.19980996335007467</v>
      </c>
      <c r="K59" s="48">
        <f>K34/K28</f>
        <v>0.14493087557603687</v>
      </c>
      <c r="L59" s="47">
        <f>(L34/0.75)/L28</f>
        <v>0.18486282893062556</v>
      </c>
      <c r="M59" s="47">
        <f>(M34/0.5)/M28</f>
        <v>0.1582234559333796</v>
      </c>
      <c r="N59" s="32">
        <f>((N34)/0.25)/N28</f>
        <v>0.11608353675074587</v>
      </c>
      <c r="O59" s="34">
        <f>O34/O28</f>
        <v>0.09061352910330361</v>
      </c>
      <c r="P59" s="34">
        <f>P34/P27</f>
        <v>0.08957756319085759</v>
      </c>
    </row>
    <row r="60" spans="1:16" ht="11.25">
      <c r="A60" s="2" t="s">
        <v>53</v>
      </c>
      <c r="B60" s="4"/>
      <c r="C60" s="47">
        <f>C35/C28</f>
        <v>-0.14032658242455714</v>
      </c>
      <c r="D60" s="32">
        <f>(D35/0.75)/D28</f>
        <v>-0.09255242227042661</v>
      </c>
      <c r="E60" s="32">
        <f>((E35)/0.5)/E28</f>
        <v>-0.07432432432432433</v>
      </c>
      <c r="F60" s="33">
        <f>((F35)/0.25)/F28</f>
        <v>-0.10729023383768914</v>
      </c>
      <c r="G60" s="47">
        <f>G35/G28</f>
        <v>0.021541631544441324</v>
      </c>
      <c r="H60" s="47">
        <f>(H35/0.75)/H28</f>
        <v>0.029984760492606777</v>
      </c>
      <c r="I60" s="34">
        <f>(I35/0.5)/I28</f>
        <v>0.08166511997878828</v>
      </c>
      <c r="J60" s="34">
        <f>((J35)/0.25)/J28</f>
        <v>0.1444278539432605</v>
      </c>
      <c r="K60" s="48">
        <f>K35/K28</f>
        <v>0.0847926267281106</v>
      </c>
      <c r="L60" s="47">
        <f>(L35/0.75)/L28</f>
        <v>0.09528172240036646</v>
      </c>
      <c r="M60" s="47">
        <f>(M35/0.5)/M28</f>
        <v>0.11589174184594032</v>
      </c>
      <c r="N60" s="32">
        <f>((N35)/0.25)/N28</f>
        <v>0.10197992948196366</v>
      </c>
      <c r="O60" s="34">
        <f>O35/O28</f>
        <v>0.21436811746198217</v>
      </c>
      <c r="P60" s="34">
        <f>P35/P27</f>
        <v>0.007685205978491404</v>
      </c>
    </row>
    <row r="61" spans="1:16" ht="11.25">
      <c r="A61" s="2" t="s">
        <v>54</v>
      </c>
      <c r="B61" s="4"/>
      <c r="C61" s="47">
        <f>C38/C37</f>
        <v>0.3854389721627409</v>
      </c>
      <c r="D61" s="32">
        <f>(D38/0.75)/(D37/0.75)</f>
        <v>0.521557719054242</v>
      </c>
      <c r="E61" s="32">
        <f>(E38/0.5)/(E37/0.5)</f>
        <v>2.804123711340206</v>
      </c>
      <c r="F61" s="33">
        <f>(F38/0.25)/(F37/0.25)</f>
        <v>-2.5789473684210527</v>
      </c>
      <c r="G61" s="47">
        <f>G38/G37</f>
        <v>0.6551724137931034</v>
      </c>
      <c r="H61" s="47">
        <f>(H38/0.75)/(H37/0.75)</f>
        <v>0.8559322033898306</v>
      </c>
      <c r="I61" s="34">
        <f>(I38/0.5)/(I37/0.5)</f>
        <v>0.7954545454545454</v>
      </c>
      <c r="J61" s="34">
        <f>(J38/0.25)/(J37/0.25)</f>
        <v>0.5893719806763285</v>
      </c>
      <c r="K61" s="48">
        <f>K38/K37</f>
        <v>0.7840112201963534</v>
      </c>
      <c r="L61" s="47">
        <f>(L38/0.75)/(L37/0.75)</f>
        <v>0.9176201372997712</v>
      </c>
      <c r="M61" s="47">
        <f>(M38/0.5)/(M37/0.5)</f>
        <v>1.146067415730337</v>
      </c>
      <c r="N61" s="32">
        <f>(N38/0.25)/(N37/0.25)</f>
        <v>1.1568627450980393</v>
      </c>
      <c r="O61" s="34">
        <f>O38/O37</f>
        <v>0.4003623188405797</v>
      </c>
      <c r="P61" s="34">
        <f>P38/P37</f>
        <v>1.9903381642512077</v>
      </c>
    </row>
    <row r="62" spans="1:16" ht="11.25">
      <c r="A62" s="3" t="s">
        <v>55</v>
      </c>
      <c r="B62" s="3"/>
      <c r="C62" s="51">
        <f>C36/C28</f>
        <v>0.3020021926028504</v>
      </c>
      <c r="D62" s="36">
        <f>(D36/0.75)/D28</f>
        <v>0.20495984053467783</v>
      </c>
      <c r="E62" s="36">
        <f>(E36/0.5)/E28</f>
        <v>0.1028202115158637</v>
      </c>
      <c r="F62" s="37">
        <f>(F36/0.25)/F28</f>
        <v>0.055020632737276476</v>
      </c>
      <c r="G62" s="51">
        <f>G36/G28</f>
        <v>0.09796759389341575</v>
      </c>
      <c r="H62" s="51">
        <f>(H36/0.75)/H28</f>
        <v>0.08665925285225916</v>
      </c>
      <c r="I62" s="36">
        <f>(I36/0.5)/I28</f>
        <v>0.058332228556277343</v>
      </c>
      <c r="J62" s="36">
        <f>(J36/0.25)/J28</f>
        <v>0.0803583548255735</v>
      </c>
      <c r="K62" s="52">
        <f>K36/K28</f>
        <v>0.07949308755760369</v>
      </c>
      <c r="L62" s="51">
        <f>(L36/0.75)/L28</f>
        <v>0.08265893011655724</v>
      </c>
      <c r="M62" s="51">
        <f>(M36/0.5)/M28</f>
        <v>0.007633587786259542</v>
      </c>
      <c r="N62" s="36">
        <f>(N36/0.25)/N28</f>
        <v>0.008679142934635205</v>
      </c>
      <c r="O62" s="36">
        <f>O36/O28</f>
        <v>0.01719979024646041</v>
      </c>
      <c r="P62" s="36">
        <f>P36/P27</f>
        <v>0.0026449085510392495</v>
      </c>
    </row>
    <row r="63" spans="1:14" ht="11.25">
      <c r="A63" s="11" t="s">
        <v>56</v>
      </c>
      <c r="D63" s="4"/>
      <c r="E63" s="18"/>
      <c r="F63" s="28"/>
      <c r="K63" s="53"/>
      <c r="L63" s="4"/>
      <c r="M63" s="4"/>
      <c r="N63" s="4"/>
    </row>
    <row r="64" spans="1:16" ht="11.25">
      <c r="A64" s="2" t="s">
        <v>57</v>
      </c>
      <c r="C64" s="2">
        <v>13</v>
      </c>
      <c r="D64" s="4">
        <v>12</v>
      </c>
      <c r="E64" s="18">
        <v>12</v>
      </c>
      <c r="F64" s="28">
        <v>13</v>
      </c>
      <c r="G64" s="2">
        <v>13</v>
      </c>
      <c r="H64" s="17">
        <v>12</v>
      </c>
      <c r="I64" s="17">
        <v>12</v>
      </c>
      <c r="J64" s="17">
        <v>11</v>
      </c>
      <c r="K64" s="20">
        <v>11</v>
      </c>
      <c r="L64" s="18">
        <v>11</v>
      </c>
      <c r="M64" s="18">
        <v>11</v>
      </c>
      <c r="N64" s="18">
        <v>13</v>
      </c>
      <c r="O64" s="17">
        <v>13</v>
      </c>
      <c r="P64" s="17">
        <v>13</v>
      </c>
    </row>
    <row r="65" spans="1:16" ht="11.25">
      <c r="A65" s="2" t="s">
        <v>58</v>
      </c>
      <c r="C65" s="2">
        <v>1</v>
      </c>
      <c r="D65" s="4">
        <v>1</v>
      </c>
      <c r="E65" s="18">
        <v>1</v>
      </c>
      <c r="F65" s="28">
        <v>1</v>
      </c>
      <c r="G65" s="2">
        <v>1</v>
      </c>
      <c r="H65" s="17">
        <v>1</v>
      </c>
      <c r="I65" s="17">
        <v>1</v>
      </c>
      <c r="J65" s="17">
        <v>1</v>
      </c>
      <c r="K65" s="20">
        <v>1</v>
      </c>
      <c r="L65" s="18">
        <v>1</v>
      </c>
      <c r="M65" s="18">
        <v>1</v>
      </c>
      <c r="N65" s="18">
        <v>1</v>
      </c>
      <c r="O65" s="17">
        <v>1</v>
      </c>
      <c r="P65" s="17">
        <v>1</v>
      </c>
    </row>
    <row r="66" spans="1:16" ht="11.25">
      <c r="A66" s="2" t="s">
        <v>59</v>
      </c>
      <c r="C66" s="18">
        <f aca="true" t="shared" si="21" ref="C66:P66">C12/C64</f>
        <v>948</v>
      </c>
      <c r="D66" s="18">
        <f t="shared" si="21"/>
        <v>996</v>
      </c>
      <c r="E66" s="18">
        <f t="shared" si="21"/>
        <v>687.1666666666666</v>
      </c>
      <c r="F66" s="19">
        <f t="shared" si="21"/>
        <v>309.6923076923077</v>
      </c>
      <c r="G66" s="17">
        <f t="shared" si="21"/>
        <v>385.15384615384613</v>
      </c>
      <c r="H66" s="17">
        <f t="shared" si="21"/>
        <v>425.4166666666667</v>
      </c>
      <c r="I66" s="17">
        <f t="shared" si="21"/>
        <v>447.5</v>
      </c>
      <c r="J66" s="17">
        <f t="shared" si="21"/>
        <v>427.09090909090907</v>
      </c>
      <c r="K66" s="20">
        <f t="shared" si="21"/>
        <v>515.4545454545455</v>
      </c>
      <c r="L66" s="18">
        <f t="shared" si="21"/>
        <v>271.6363636363636</v>
      </c>
      <c r="M66" s="18">
        <f t="shared" si="21"/>
        <v>197.54545454545453</v>
      </c>
      <c r="N66" s="18">
        <f t="shared" si="21"/>
        <v>205.30769230769232</v>
      </c>
      <c r="O66" s="17">
        <f t="shared" si="21"/>
        <v>226.92307692307693</v>
      </c>
      <c r="P66" s="17">
        <f t="shared" si="21"/>
        <v>497.3076923076923</v>
      </c>
    </row>
    <row r="67" spans="1:16" ht="11.25">
      <c r="A67" s="2" t="s">
        <v>60</v>
      </c>
      <c r="C67" s="18">
        <f aca="true" t="shared" si="22" ref="C67:P67">+C16/C64</f>
        <v>1530.3076923076924</v>
      </c>
      <c r="D67" s="18">
        <f t="shared" si="22"/>
        <v>1895.9166666666667</v>
      </c>
      <c r="E67" s="18">
        <f t="shared" si="22"/>
        <v>2053.6666666666665</v>
      </c>
      <c r="F67" s="19">
        <f t="shared" si="22"/>
        <v>1679.4615384615386</v>
      </c>
      <c r="G67" s="17">
        <f t="shared" si="22"/>
        <v>1408.6153846153845</v>
      </c>
      <c r="H67" s="17">
        <f t="shared" si="22"/>
        <v>897.1666666666666</v>
      </c>
      <c r="I67" s="17">
        <f t="shared" si="22"/>
        <v>1013.25</v>
      </c>
      <c r="J67" s="17">
        <f t="shared" si="22"/>
        <v>760.8181818181819</v>
      </c>
      <c r="K67" s="20">
        <f t="shared" si="22"/>
        <v>658.4545454545455</v>
      </c>
      <c r="L67" s="18">
        <f t="shared" si="22"/>
        <v>833.4545454545455</v>
      </c>
      <c r="M67" s="18">
        <f t="shared" si="22"/>
        <v>599.9090909090909</v>
      </c>
      <c r="N67" s="18">
        <f t="shared" si="22"/>
        <v>356.2307692307692</v>
      </c>
      <c r="O67" s="17">
        <f t="shared" si="22"/>
        <v>334.15384615384613</v>
      </c>
      <c r="P67" s="17">
        <f t="shared" si="22"/>
        <v>979.1538461538462</v>
      </c>
    </row>
    <row r="68" spans="1:16" ht="11.25">
      <c r="A68" s="3" t="s">
        <v>61</v>
      </c>
      <c r="B68" s="3"/>
      <c r="C68" s="25">
        <f aca="true" t="shared" si="23" ref="C68:P68">+C40/C64</f>
        <v>66.23076923076923</v>
      </c>
      <c r="D68" s="25">
        <f t="shared" si="23"/>
        <v>28.583333333333332</v>
      </c>
      <c r="E68" s="18">
        <f t="shared" si="23"/>
        <v>-14.666666666666666</v>
      </c>
      <c r="F68" s="26">
        <f t="shared" si="23"/>
        <v>-15.692307692307692</v>
      </c>
      <c r="G68" s="25">
        <f t="shared" si="23"/>
        <v>16.923076923076923</v>
      </c>
      <c r="H68" s="25">
        <f t="shared" si="23"/>
        <v>4.25</v>
      </c>
      <c r="I68" s="25">
        <f t="shared" si="23"/>
        <v>4.583333333333333</v>
      </c>
      <c r="J68" s="25">
        <f t="shared" si="23"/>
        <v>7.7272727272727275</v>
      </c>
      <c r="K68" s="27">
        <f t="shared" si="23"/>
        <v>14</v>
      </c>
      <c r="L68" s="25">
        <f t="shared" si="23"/>
        <v>3.272727272727273</v>
      </c>
      <c r="M68" s="25">
        <f t="shared" si="23"/>
        <v>-2.3636363636363638</v>
      </c>
      <c r="N68" s="25">
        <f t="shared" si="23"/>
        <v>-1.2307692307692308</v>
      </c>
      <c r="O68" s="25">
        <f t="shared" si="23"/>
        <v>22.23076923076923</v>
      </c>
      <c r="P68" s="25">
        <f t="shared" si="23"/>
        <v>15.692307692307692</v>
      </c>
    </row>
    <row r="69" spans="1:14" ht="11.25">
      <c r="A69" s="11" t="s">
        <v>62</v>
      </c>
      <c r="D69" s="5"/>
      <c r="E69" s="29"/>
      <c r="F69" s="58"/>
      <c r="K69" s="53"/>
      <c r="L69" s="4"/>
      <c r="M69" s="4"/>
      <c r="N69" s="4"/>
    </row>
    <row r="70" spans="1:16" ht="11.25">
      <c r="A70" s="2" t="s">
        <v>63</v>
      </c>
      <c r="C70" s="34">
        <f aca="true" t="shared" si="24" ref="C70:I70">(C10/G10)-1</f>
        <v>1.3002269227652161</v>
      </c>
      <c r="D70" s="32">
        <f t="shared" si="24"/>
        <v>1.7147961964750773</v>
      </c>
      <c r="E70" s="32">
        <f t="shared" si="24"/>
        <v>0.8239850729390479</v>
      </c>
      <c r="F70" s="33">
        <f t="shared" si="24"/>
        <v>1.0985176738882556</v>
      </c>
      <c r="G70" s="34">
        <f t="shared" si="24"/>
        <v>1.080600286653739</v>
      </c>
      <c r="H70" s="34">
        <f t="shared" si="24"/>
        <v>0.17868360936607663</v>
      </c>
      <c r="I70" s="34">
        <f t="shared" si="24"/>
        <v>0.526365754725123</v>
      </c>
      <c r="J70" s="34">
        <f>+(J10/N10)-1</f>
        <v>0.4518265092153184</v>
      </c>
      <c r="K70" s="35">
        <f>+(K10/O10)-1</f>
        <v>0.30670926517571884</v>
      </c>
      <c r="L70" s="32">
        <f>+(L10/9120)-1</f>
        <v>0.5359649122807018</v>
      </c>
      <c r="M70" s="32">
        <f>+(M10/9322)-1</f>
        <v>0.24297361081313018</v>
      </c>
      <c r="N70" s="32">
        <f>+(N10/17524)-1</f>
        <v>-0.48293768545994065</v>
      </c>
      <c r="O70" s="34">
        <f>+(O10/P10)-1</f>
        <v>-0.5084745762711864</v>
      </c>
      <c r="P70" s="34">
        <f>+(P10/21610)-1</f>
        <v>-0.1454419250347062</v>
      </c>
    </row>
    <row r="71" spans="1:16" ht="11.25">
      <c r="A71" s="2" t="s">
        <v>64</v>
      </c>
      <c r="C71" s="34">
        <f aca="true" t="shared" si="25" ref="C71:I71">(C12/G12)-1</f>
        <v>1.4613541042540446</v>
      </c>
      <c r="D71" s="32">
        <f t="shared" si="25"/>
        <v>1.341234084231146</v>
      </c>
      <c r="E71" s="32">
        <f t="shared" si="25"/>
        <v>0.5355679702048417</v>
      </c>
      <c r="F71" s="33">
        <f t="shared" si="25"/>
        <v>-0.1430395913154534</v>
      </c>
      <c r="G71" s="34">
        <f t="shared" si="25"/>
        <v>-0.11693121693121689</v>
      </c>
      <c r="H71" s="34">
        <f t="shared" si="25"/>
        <v>0.7085006693440428</v>
      </c>
      <c r="I71" s="34">
        <f t="shared" si="25"/>
        <v>1.4712379199263692</v>
      </c>
      <c r="J71" s="34">
        <f aca="true" t="shared" si="26" ref="J71:P71">SUM(J72:J73)</f>
        <v>0.7602098164106408</v>
      </c>
      <c r="K71" s="35">
        <f t="shared" si="26"/>
        <v>0.9220338983050846</v>
      </c>
      <c r="L71" s="32">
        <f t="shared" si="26"/>
        <v>-0.14652956298200515</v>
      </c>
      <c r="M71" s="32">
        <f t="shared" si="26"/>
        <v>-0.38459359954687056</v>
      </c>
      <c r="N71" s="32">
        <f t="shared" si="26"/>
        <v>-0.4254036598493003</v>
      </c>
      <c r="O71" s="34">
        <f t="shared" si="26"/>
        <v>-0.5436968290796598</v>
      </c>
      <c r="P71" s="34">
        <f t="shared" si="26"/>
        <v>1.2876857749469215</v>
      </c>
    </row>
    <row r="72" spans="2:16" ht="11.25">
      <c r="B72" s="2" t="s">
        <v>15</v>
      </c>
      <c r="C72" s="34">
        <v>0</v>
      </c>
      <c r="D72" s="32">
        <v>0</v>
      </c>
      <c r="E72" s="32">
        <v>0</v>
      </c>
      <c r="F72" s="33">
        <v>0</v>
      </c>
      <c r="G72" s="34">
        <v>0</v>
      </c>
      <c r="H72" s="34">
        <v>0</v>
      </c>
      <c r="I72" s="34">
        <v>0</v>
      </c>
      <c r="J72" s="34">
        <v>0</v>
      </c>
      <c r="K72" s="35">
        <v>0</v>
      </c>
      <c r="L72" s="32">
        <v>0</v>
      </c>
      <c r="M72" s="32">
        <v>0</v>
      </c>
      <c r="N72" s="32">
        <v>0</v>
      </c>
      <c r="O72" s="34">
        <v>0</v>
      </c>
      <c r="P72" s="34">
        <v>0</v>
      </c>
    </row>
    <row r="73" spans="2:16" ht="11.25">
      <c r="B73" s="2" t="s">
        <v>16</v>
      </c>
      <c r="C73" s="34">
        <f aca="true" t="shared" si="27" ref="C73:I73">(C14/G14)-1</f>
        <v>1.4613541042540446</v>
      </c>
      <c r="D73" s="32">
        <f t="shared" si="27"/>
        <v>1.341234084231146</v>
      </c>
      <c r="E73" s="32">
        <f t="shared" si="27"/>
        <v>0.5355679702048417</v>
      </c>
      <c r="F73" s="33">
        <f t="shared" si="27"/>
        <v>-0.1430395913154534</v>
      </c>
      <c r="G73" s="34">
        <f t="shared" si="27"/>
        <v>-0.11693121693121689</v>
      </c>
      <c r="H73" s="34">
        <f t="shared" si="27"/>
        <v>0.7085006693440428</v>
      </c>
      <c r="I73" s="34">
        <f t="shared" si="27"/>
        <v>1.4712379199263692</v>
      </c>
      <c r="J73" s="34">
        <f>+(J14/N14)-1</f>
        <v>0.7602098164106408</v>
      </c>
      <c r="K73" s="35">
        <f>+(K14/O14)-1</f>
        <v>0.9220338983050846</v>
      </c>
      <c r="L73" s="32">
        <f>+(L14/3501)-1</f>
        <v>-0.14652956298200515</v>
      </c>
      <c r="M73" s="32">
        <f>+(M14/3531)-1</f>
        <v>-0.38459359954687056</v>
      </c>
      <c r="N73" s="32">
        <f>+(N14/4645)-1</f>
        <v>-0.4254036598493003</v>
      </c>
      <c r="O73" s="34">
        <f>+(O14/P14)-1</f>
        <v>-0.5436968290796598</v>
      </c>
      <c r="P73" s="34">
        <f>+(P14/2826)-1</f>
        <v>1.2876857749469215</v>
      </c>
    </row>
    <row r="74" spans="1:16" ht="11.25">
      <c r="A74" s="2" t="s">
        <v>65</v>
      </c>
      <c r="C74" s="34">
        <f aca="true" t="shared" si="28" ref="C74:I74">(C16/G16)-1</f>
        <v>0.08639143730886856</v>
      </c>
      <c r="D74" s="32">
        <f t="shared" si="28"/>
        <v>1.1132268251904143</v>
      </c>
      <c r="E74" s="32">
        <f t="shared" si="28"/>
        <v>1.0268114154124515</v>
      </c>
      <c r="F74" s="33">
        <f t="shared" si="28"/>
        <v>1.6087943601386065</v>
      </c>
      <c r="G74" s="34">
        <f t="shared" si="28"/>
        <v>1.5282341571172164</v>
      </c>
      <c r="H74" s="34">
        <f t="shared" si="28"/>
        <v>0.1743019197207678</v>
      </c>
      <c r="I74" s="34">
        <f t="shared" si="28"/>
        <v>0.8425519018033036</v>
      </c>
      <c r="J74" s="34">
        <f aca="true" t="shared" si="29" ref="J74:P74">SUM(J75:J76)</f>
        <v>0.8071690779529259</v>
      </c>
      <c r="K74" s="35">
        <f t="shared" si="29"/>
        <v>0.6673572744014733</v>
      </c>
      <c r="L74" s="32">
        <f t="shared" si="29"/>
        <v>0.9518841813923782</v>
      </c>
      <c r="M74" s="32">
        <f t="shared" si="29"/>
        <v>0.338811117873808</v>
      </c>
      <c r="N74" s="32">
        <f t="shared" si="29"/>
        <v>-0.5958635133955843</v>
      </c>
      <c r="O74" s="34">
        <f t="shared" si="29"/>
        <v>-0.6587320292246053</v>
      </c>
      <c r="P74" s="34">
        <f t="shared" si="29"/>
        <v>-0.27610327570518656</v>
      </c>
    </row>
    <row r="75" spans="2:16" ht="11.25">
      <c r="B75" s="2" t="s">
        <v>15</v>
      </c>
      <c r="C75" s="34">
        <v>0</v>
      </c>
      <c r="D75" s="32">
        <v>0</v>
      </c>
      <c r="E75" s="32">
        <v>0</v>
      </c>
      <c r="F75" s="33">
        <v>0</v>
      </c>
      <c r="G75" s="34">
        <v>0</v>
      </c>
      <c r="H75" s="34">
        <v>0</v>
      </c>
      <c r="I75" s="34">
        <v>0</v>
      </c>
      <c r="J75" s="34">
        <v>0</v>
      </c>
      <c r="K75" s="35">
        <v>0</v>
      </c>
      <c r="L75" s="32">
        <v>0</v>
      </c>
      <c r="M75" s="32">
        <v>0</v>
      </c>
      <c r="N75" s="32">
        <v>0</v>
      </c>
      <c r="O75" s="34">
        <v>0</v>
      </c>
      <c r="P75" s="34">
        <v>0</v>
      </c>
    </row>
    <row r="76" spans="2:16" ht="11.25">
      <c r="B76" s="2" t="s">
        <v>16</v>
      </c>
      <c r="C76" s="34">
        <f aca="true" t="shared" si="30" ref="C76:I76">(C21/G21)-1</f>
        <v>0.08639143730886856</v>
      </c>
      <c r="D76" s="32">
        <f t="shared" si="30"/>
        <v>1.1132268251904143</v>
      </c>
      <c r="E76" s="32">
        <f t="shared" si="30"/>
        <v>1.0268114154124515</v>
      </c>
      <c r="F76" s="33">
        <f t="shared" si="30"/>
        <v>1.6087943601386065</v>
      </c>
      <c r="G76" s="34">
        <f t="shared" si="30"/>
        <v>1.5282341571172164</v>
      </c>
      <c r="H76" s="34">
        <f t="shared" si="30"/>
        <v>0.1743019197207678</v>
      </c>
      <c r="I76" s="34">
        <f t="shared" si="30"/>
        <v>0.8425519018033036</v>
      </c>
      <c r="J76" s="34">
        <f>+(J21/N21)-1</f>
        <v>0.8071690779529259</v>
      </c>
      <c r="K76" s="35">
        <f>+(K21/O21)-1</f>
        <v>0.6673572744014733</v>
      </c>
      <c r="L76" s="32">
        <f>+(L21/4697)-1</f>
        <v>0.9518841813923782</v>
      </c>
      <c r="M76" s="32">
        <f>+(M21/4929)-1</f>
        <v>0.338811117873808</v>
      </c>
      <c r="N76" s="32">
        <f>+(N21/11459)-1</f>
        <v>-0.5958635133955843</v>
      </c>
      <c r="O76" s="34">
        <f>+(O21/P21)-1</f>
        <v>-0.6587320292246053</v>
      </c>
      <c r="P76" s="34">
        <f>+(P21/17584)-1</f>
        <v>-0.27610327570518656</v>
      </c>
    </row>
    <row r="77" spans="1:16" ht="11.25">
      <c r="A77" s="2" t="s">
        <v>22</v>
      </c>
      <c r="C77" s="34">
        <f aca="true" t="shared" si="31" ref="C77:I77">(C25/G25)-1</f>
        <v>0.21947489166454237</v>
      </c>
      <c r="D77" s="32">
        <f t="shared" si="31"/>
        <v>0.13608521970705723</v>
      </c>
      <c r="E77" s="32">
        <f t="shared" si="31"/>
        <v>-0.0034583665868581637</v>
      </c>
      <c r="F77" s="33">
        <f t="shared" si="31"/>
        <v>-0.11301859799713876</v>
      </c>
      <c r="G77" s="34">
        <f t="shared" si="31"/>
        <v>-0.07910798122065732</v>
      </c>
      <c r="H77" s="34">
        <f t="shared" si="31"/>
        <v>-0.09321419946872733</v>
      </c>
      <c r="I77" s="34">
        <f t="shared" si="31"/>
        <v>-0.07867647058823535</v>
      </c>
      <c r="J77" s="32">
        <f>+(J25/N25)-1</f>
        <v>0.025427872860635636</v>
      </c>
      <c r="K77" s="35">
        <f>+(K25/O25)-1</f>
        <v>0.0324769752787204</v>
      </c>
      <c r="L77" s="32">
        <f>+(L25/4254)-1</f>
        <v>-0.026563234602726804</v>
      </c>
      <c r="M77" s="32">
        <f>+(M25/4162)-1</f>
        <v>-0.01970206631427196</v>
      </c>
      <c r="N77" s="32">
        <f>+(N25/4095)-1</f>
        <v>-0.0012210012210012167</v>
      </c>
      <c r="O77" s="32">
        <f>+(O25/P25)-1</f>
        <v>0.021539985144837903</v>
      </c>
      <c r="P77" s="34">
        <f>+(P25/3876)-1</f>
        <v>0.0420536635706914</v>
      </c>
    </row>
    <row r="78" spans="1:16" ht="11.25">
      <c r="A78" s="3" t="s">
        <v>66</v>
      </c>
      <c r="B78" s="3"/>
      <c r="C78" s="36">
        <f aca="true" t="shared" si="32" ref="C78:I78">(C40/G40)-1</f>
        <v>2.9136363636363636</v>
      </c>
      <c r="D78" s="36">
        <f t="shared" si="32"/>
        <v>5.7254901960784315</v>
      </c>
      <c r="E78" s="36">
        <f t="shared" si="32"/>
        <v>-4.2</v>
      </c>
      <c r="F78" s="37">
        <f t="shared" si="32"/>
        <v>-3.4</v>
      </c>
      <c r="G78" s="36">
        <f t="shared" si="32"/>
        <v>0.4285714285714286</v>
      </c>
      <c r="H78" s="36">
        <f t="shared" si="32"/>
        <v>0.41666666666666674</v>
      </c>
      <c r="I78" s="36">
        <f t="shared" si="32"/>
        <v>-3.1153846153846154</v>
      </c>
      <c r="J78" s="36">
        <f>+(J40/N40)-1</f>
        <v>-6.3125</v>
      </c>
      <c r="K78" s="38">
        <f>+(K40/O40)-1</f>
        <v>-0.46712802768166095</v>
      </c>
      <c r="L78" s="36">
        <f>+(L40/212)-1</f>
        <v>-0.8301886792452831</v>
      </c>
      <c r="M78" s="36">
        <f>+(M40/122)-1</f>
        <v>-1.2131147540983607</v>
      </c>
      <c r="N78" s="36">
        <f>+(N40/57)-1</f>
        <v>-1.280701754385965</v>
      </c>
      <c r="O78" s="36">
        <f>+(O40/P40)-1</f>
        <v>0.41666666666666674</v>
      </c>
      <c r="P78" s="36">
        <f>+(P40/712)-1</f>
        <v>-0.7134831460674158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2017-06-16T15:58:12Z</dcterms:created>
  <dcterms:modified xsi:type="dcterms:W3CDTF">2017-06-16T17:02:09Z</dcterms:modified>
  <cp:category/>
  <cp:version/>
  <cp:contentType/>
  <cp:contentStatus/>
</cp:coreProperties>
</file>