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BCT PANAMA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<sst xmlns="http://schemas.openxmlformats.org/spreadsheetml/2006/main" count="91" uniqueCount="70">
  <si>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CUADRO No. 19-26</t>
  </si>
  <si>
    <t>BCT BANK PANAMA (1)</t>
  </si>
  <si>
    <t>ESTADISTICA FINANCIERA. 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</si>
  <si>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</si>
  <si>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</si>
  <si>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</si>
  <si>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</si>
  <si>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</si>
  <si>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</si>
  <si>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</si>
  <si>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</si>
  <si>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</si>
  <si>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</si>
  <si>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</si>
  <si>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</si>
  <si>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</si>
  <si>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</si>
  <si>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</si>
  <si>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</si>
  <si>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</si>
  <si>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</si>
  <si>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</si>
  <si>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</si>
  <si>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</si>
  <si>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</si>
  <si>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</si>
  <si>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</si>
  <si>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</si>
  <si>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</si>
  <si>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</si>
  <si>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</si>
  <si>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</si>
  <si>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</si>
  <si>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</si>
  <si>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</si>
  <si>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</si>
  <si>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</si>
  <si>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</si>
  <si>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</si>
  <si>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</si>
  <si>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</si>
  <si>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Total de Préstamos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</si>
  <si>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</si>
  <si>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</si>
  <si>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</si>
  <si>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</si>
  <si>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</si>
  <si>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</si>
  <si>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</si>
  <si>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</si>
  <si>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</si>
  <si>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</si>
  <si>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</si>
  <si>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</si>
  <si>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</si>
  <si>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</si>
  <si>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</si>
  <si>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</si>
  <si>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</si>
  <si>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</si>
  <si>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</si>
  <si>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</si>
  <si>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</si>
  <si>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</si>
  <si>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</si>
  <si>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</si>
  <si>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</si>
  <si>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</si>
  <si>
    <t>Nota:</t>
  </si>
  <si>
    <t>(1) Antes Commerce Overseas Bank, S.A.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</si>
</sst>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2" fillId="0" borderId="0" xfId="46" applyNumberFormat="1" applyFont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43" fontId="3" fillId="0" borderId="0" xfId="46" applyFont="1" applyBorder="1" applyAlignment="1">
      <alignment/>
    </xf>
    <xf numFmtId="43" fontId="3" fillId="0" borderId="17" xfId="46" applyFont="1" applyBorder="1" applyAlignment="1">
      <alignment/>
    </xf>
    <xf numFmtId="43" fontId="3" fillId="0" borderId="0" xfId="46" applyFont="1" applyAlignment="1">
      <alignment/>
    </xf>
    <xf numFmtId="201" fontId="3" fillId="0" borderId="17" xfId="46" applyNumberFormat="1" applyFont="1" applyFill="1" applyBorder="1" applyAlignment="1">
      <alignment/>
    </xf>
    <xf numFmtId="201" fontId="3" fillId="0" borderId="0" xfId="46" applyNumberFormat="1" applyFont="1" applyFill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8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0" fontId="3" fillId="0" borderId="17" xfId="0" applyFont="1" applyBorder="1" applyAlignment="1">
      <alignment/>
    </xf>
    <xf numFmtId="201" fontId="3" fillId="0" borderId="11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9" xfId="0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8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17" xfId="52" applyNumberFormat="1" applyFont="1" applyFill="1" applyBorder="1" applyAlignment="1">
      <alignment/>
    </xf>
    <xf numFmtId="10" fontId="3" fillId="0" borderId="0" xfId="52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0" fontId="3" fillId="0" borderId="18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204" fontId="3" fillId="0" borderId="17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204" fontId="3" fillId="0" borderId="18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9" fontId="3" fillId="0" borderId="10" xfId="5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9" sqref="H9"/>
    </sheetView>
  </sheetViews>
  <sheetFormatPr defaultColWidth="11.421875" defaultRowHeight="12.75"/>
  <cols>
    <col min="1" max="1" width="3.421875" style="3" customWidth="1"/>
    <col min="2" max="2" width="28.28125" style="3" customWidth="1"/>
    <col min="3" max="3" width="8.8515625" style="3" customWidth="1"/>
    <col min="4" max="4" width="8.140625" style="3" bestFit="1" customWidth="1"/>
    <col min="5" max="5" width="8.140625" style="3" customWidth="1"/>
    <col min="6" max="6" width="7.421875" style="3" bestFit="1" customWidth="1"/>
    <col min="7" max="7" width="8.00390625" style="3" customWidth="1"/>
    <col min="8" max="8" width="8.140625" style="3" customWidth="1"/>
    <col min="9" max="9" width="8.00390625" style="3" customWidth="1"/>
    <col min="10" max="10" width="7.421875" style="3" customWidth="1"/>
    <col min="11" max="11" width="8.140625" style="3" customWidth="1"/>
    <col min="12" max="12" width="8.7109375" style="3" customWidth="1"/>
    <col min="13" max="13" width="7.8515625" style="3" customWidth="1"/>
    <col min="14" max="14" width="8.00390625" style="3" customWidth="1"/>
    <col min="15" max="15" width="6.421875" style="3" hidden="1" customWidth="1"/>
    <col min="16" max="16" width="6.57421875" style="3" hidden="1" customWidth="1"/>
    <col min="17" max="18" width="11.421875" style="3" customWidth="1"/>
    <col min="19" max="16384" width="11.421875" style="1" customWidth="1"/>
  </cols>
  <sheetData>
    <row r="1" spans="2:16" ht="11.25">
      <c r="B1" s="61"/>
      <c r="C1" s="61"/>
      <c r="D1" s="61"/>
      <c r="E1" s="61"/>
      <c r="F1" s="61"/>
      <c r="G1" s="61" t="s">
        <v>0</v>
      </c>
      <c r="H1" s="61"/>
      <c r="I1" s="61"/>
      <c r="J1" s="61"/>
      <c r="K1" s="61"/>
      <c r="L1" s="61"/>
      <c r="M1" s="61"/>
      <c r="N1" s="61"/>
      <c r="O1" s="61"/>
      <c r="P1" s="61"/>
    </row>
    <row r="2" spans="2:16" ht="11.25">
      <c r="B2" s="61"/>
      <c r="C2" s="61"/>
      <c r="D2" s="61"/>
      <c r="E2" s="61"/>
      <c r="F2" s="61"/>
      <c r="G2" s="61" t="s">
        <v>1</v>
      </c>
      <c r="H2" s="61"/>
      <c r="I2" s="61"/>
      <c r="J2" s="61"/>
      <c r="K2" s="61"/>
      <c r="L2" s="61"/>
      <c r="M2" s="61"/>
      <c r="N2" s="61"/>
      <c r="O2" s="61"/>
      <c r="P2" s="61"/>
    </row>
    <row r="3" spans="2:16" ht="11.25">
      <c r="B3" s="61"/>
      <c r="C3" s="61"/>
      <c r="D3" s="61"/>
      <c r="E3" s="61"/>
      <c r="F3" s="61"/>
      <c r="G3" s="61" t="s">
        <v>2</v>
      </c>
      <c r="H3" s="61"/>
      <c r="I3" s="61"/>
      <c r="J3" s="61"/>
      <c r="K3" s="61"/>
      <c r="L3" s="61"/>
      <c r="M3" s="61"/>
      <c r="N3" s="61"/>
      <c r="O3" s="61"/>
      <c r="P3" s="61"/>
    </row>
    <row r="4" spans="1:16" ht="11.25">
      <c r="A4" s="1"/>
      <c r="B4" s="60"/>
      <c r="C4" s="60"/>
      <c r="D4" s="60"/>
      <c r="E4" s="60"/>
      <c r="F4" s="60"/>
      <c r="G4" s="60" t="s">
        <v>3</v>
      </c>
      <c r="H4" s="60"/>
      <c r="I4" s="60"/>
      <c r="J4" s="60"/>
      <c r="K4" s="60"/>
      <c r="L4" s="60"/>
      <c r="M4" s="60"/>
      <c r="N4" s="60"/>
      <c r="O4" s="60"/>
      <c r="P4" s="60"/>
    </row>
    <row r="5" spans="1:16" ht="11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1.2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4"/>
      <c r="P6" s="4"/>
    </row>
    <row r="7" spans="1:16" ht="12.75" customHeight="1">
      <c r="A7" s="6"/>
      <c r="B7" s="6"/>
      <c r="C7" s="63">
        <v>2002</v>
      </c>
      <c r="D7" s="63"/>
      <c r="E7" s="63"/>
      <c r="F7" s="64"/>
      <c r="G7" s="63">
        <v>2001</v>
      </c>
      <c r="H7" s="63"/>
      <c r="I7" s="63"/>
      <c r="J7" s="63"/>
      <c r="K7" s="62">
        <v>2000</v>
      </c>
      <c r="L7" s="63"/>
      <c r="M7" s="63"/>
      <c r="N7" s="63"/>
      <c r="O7" s="63" t="s">
        <v>4</v>
      </c>
      <c r="P7" s="63"/>
    </row>
    <row r="8" spans="1:16" ht="11.25">
      <c r="A8" s="7"/>
      <c r="B8" s="7"/>
      <c r="C8" s="8" t="s">
        <v>5</v>
      </c>
      <c r="D8" s="8" t="s">
        <v>6</v>
      </c>
      <c r="E8" s="7" t="s">
        <v>7</v>
      </c>
      <c r="F8" s="9" t="s">
        <v>8</v>
      </c>
      <c r="G8" s="8" t="s">
        <v>5</v>
      </c>
      <c r="H8" s="8" t="s">
        <v>6</v>
      </c>
      <c r="I8" s="7" t="s">
        <v>7</v>
      </c>
      <c r="J8" s="7" t="s">
        <v>8</v>
      </c>
      <c r="K8" s="10" t="s">
        <v>5</v>
      </c>
      <c r="L8" s="7" t="s">
        <v>6</v>
      </c>
      <c r="M8" s="7" t="s">
        <v>7</v>
      </c>
      <c r="N8" s="8" t="s">
        <v>8</v>
      </c>
      <c r="O8" s="11" t="s">
        <v>9</v>
      </c>
      <c r="P8" s="11" t="s">
        <v>10</v>
      </c>
    </row>
    <row r="9" spans="1:16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2"/>
      <c r="K9" s="15"/>
      <c r="L9" s="16"/>
      <c r="M9" s="16"/>
      <c r="N9" s="16"/>
      <c r="O9" s="17"/>
      <c r="P9" s="17"/>
    </row>
    <row r="10" spans="1:16" ht="11.25">
      <c r="A10" s="3" t="s">
        <v>12</v>
      </c>
      <c r="C10" s="18">
        <v>325281</v>
      </c>
      <c r="D10" s="18">
        <v>171538</v>
      </c>
      <c r="E10" s="19">
        <v>167153</v>
      </c>
      <c r="F10" s="20">
        <v>177815</v>
      </c>
      <c r="G10" s="18">
        <v>165986</v>
      </c>
      <c r="H10" s="18">
        <v>141078</v>
      </c>
      <c r="I10" s="18">
        <v>148585</v>
      </c>
      <c r="J10" s="18">
        <v>145391</v>
      </c>
      <c r="K10" s="21">
        <v>152085</v>
      </c>
      <c r="L10" s="19">
        <v>167296</v>
      </c>
      <c r="M10" s="19">
        <v>172674</v>
      </c>
      <c r="N10" s="19">
        <v>181544</v>
      </c>
      <c r="O10" s="18">
        <v>184329</v>
      </c>
      <c r="P10" s="18">
        <v>182753</v>
      </c>
    </row>
    <row r="11" spans="1:16" ht="11.25">
      <c r="A11" s="3" t="s">
        <v>13</v>
      </c>
      <c r="C11" s="18">
        <v>20698</v>
      </c>
      <c r="D11" s="18">
        <v>2631</v>
      </c>
      <c r="E11" s="19">
        <v>3052</v>
      </c>
      <c r="F11" s="20">
        <v>4138</v>
      </c>
      <c r="G11" s="18">
        <v>4053</v>
      </c>
      <c r="H11" s="18">
        <v>5084</v>
      </c>
      <c r="I11" s="18">
        <v>18423</v>
      </c>
      <c r="J11" s="18">
        <v>9933</v>
      </c>
      <c r="K11" s="21">
        <v>4780</v>
      </c>
      <c r="L11" s="19">
        <v>9498</v>
      </c>
      <c r="M11" s="19">
        <v>12537</v>
      </c>
      <c r="N11" s="19">
        <v>7955</v>
      </c>
      <c r="O11" s="18">
        <v>4450</v>
      </c>
      <c r="P11" s="18">
        <v>6908</v>
      </c>
    </row>
    <row r="12" spans="1:16" ht="11.25">
      <c r="A12" s="3" t="s">
        <v>14</v>
      </c>
      <c r="C12" s="19">
        <f aca="true" t="shared" si="0" ref="C12:P12">C13+C14</f>
        <v>293825</v>
      </c>
      <c r="D12" s="19">
        <f t="shared" si="0"/>
        <v>165241</v>
      </c>
      <c r="E12" s="19">
        <f t="shared" si="0"/>
        <v>159873</v>
      </c>
      <c r="F12" s="20">
        <f t="shared" si="0"/>
        <v>168399</v>
      </c>
      <c r="G12" s="18">
        <f t="shared" si="0"/>
        <v>155782</v>
      </c>
      <c r="H12" s="18">
        <f t="shared" si="0"/>
        <v>129460</v>
      </c>
      <c r="I12" s="18">
        <f t="shared" si="0"/>
        <v>123986</v>
      </c>
      <c r="J12" s="18">
        <f t="shared" si="0"/>
        <v>128485</v>
      </c>
      <c r="K12" s="21">
        <f t="shared" si="0"/>
        <v>139246</v>
      </c>
      <c r="L12" s="19">
        <f t="shared" si="0"/>
        <v>149382</v>
      </c>
      <c r="M12" s="19">
        <f t="shared" si="0"/>
        <v>151366</v>
      </c>
      <c r="N12" s="19">
        <f t="shared" si="0"/>
        <v>157781</v>
      </c>
      <c r="O12" s="18">
        <f t="shared" si="0"/>
        <v>164910</v>
      </c>
      <c r="P12" s="18">
        <f t="shared" si="0"/>
        <v>161693</v>
      </c>
    </row>
    <row r="13" spans="2:16" ht="11.25">
      <c r="B13" s="3" t="s">
        <v>15</v>
      </c>
      <c r="C13" s="22">
        <v>0</v>
      </c>
      <c r="D13" s="22">
        <v>0</v>
      </c>
      <c r="E13" s="22">
        <v>0</v>
      </c>
      <c r="F13" s="23">
        <v>0</v>
      </c>
      <c r="G13" s="24">
        <v>0</v>
      </c>
      <c r="H13" s="24">
        <v>0</v>
      </c>
      <c r="I13" s="18">
        <v>0</v>
      </c>
      <c r="J13" s="18">
        <v>0</v>
      </c>
      <c r="K13" s="21">
        <v>0</v>
      </c>
      <c r="L13" s="19">
        <v>0</v>
      </c>
      <c r="M13" s="19">
        <v>0</v>
      </c>
      <c r="N13" s="19">
        <v>0</v>
      </c>
      <c r="O13" s="18">
        <v>0</v>
      </c>
      <c r="P13" s="18">
        <v>0</v>
      </c>
    </row>
    <row r="14" spans="2:16" ht="11.25">
      <c r="B14" s="3" t="s">
        <v>16</v>
      </c>
      <c r="C14" s="18">
        <v>293825</v>
      </c>
      <c r="D14" s="18">
        <v>165241</v>
      </c>
      <c r="E14" s="19">
        <v>159873</v>
      </c>
      <c r="F14" s="20">
        <v>168399</v>
      </c>
      <c r="G14" s="18">
        <v>155782</v>
      </c>
      <c r="H14" s="18">
        <v>129460</v>
      </c>
      <c r="I14" s="18">
        <v>123986</v>
      </c>
      <c r="J14" s="18">
        <v>128485</v>
      </c>
      <c r="K14" s="21">
        <v>139246</v>
      </c>
      <c r="L14" s="19">
        <v>149382</v>
      </c>
      <c r="M14" s="19">
        <v>151366</v>
      </c>
      <c r="N14" s="19">
        <v>157781</v>
      </c>
      <c r="O14" s="18">
        <v>164910</v>
      </c>
      <c r="P14" s="18">
        <v>161693</v>
      </c>
    </row>
    <row r="15" spans="1:16" ht="11.25">
      <c r="A15" s="3" t="s">
        <v>17</v>
      </c>
      <c r="C15" s="18">
        <v>166</v>
      </c>
      <c r="D15" s="18">
        <v>0</v>
      </c>
      <c r="E15" s="19">
        <v>0</v>
      </c>
      <c r="F15" s="20">
        <v>1051</v>
      </c>
      <c r="G15" s="18">
        <v>1483</v>
      </c>
      <c r="H15" s="18">
        <v>1482</v>
      </c>
      <c r="I15" s="18">
        <v>983</v>
      </c>
      <c r="J15" s="18">
        <v>500</v>
      </c>
      <c r="K15" s="21">
        <v>0</v>
      </c>
      <c r="L15" s="19">
        <v>288</v>
      </c>
      <c r="M15" s="19">
        <v>288</v>
      </c>
      <c r="N15" s="19">
        <v>288</v>
      </c>
      <c r="O15" s="18">
        <v>292</v>
      </c>
      <c r="P15" s="18">
        <v>2303</v>
      </c>
    </row>
    <row r="16" spans="1:16" ht="11.25">
      <c r="A16" s="3" t="s">
        <v>18</v>
      </c>
      <c r="C16" s="19">
        <f aca="true" t="shared" si="1" ref="C16:P16">C17+C21</f>
        <v>267414</v>
      </c>
      <c r="D16" s="19">
        <f t="shared" si="1"/>
        <v>129663</v>
      </c>
      <c r="E16" s="19">
        <f t="shared" si="1"/>
        <v>124804</v>
      </c>
      <c r="F16" s="20">
        <f t="shared" si="1"/>
        <v>129243</v>
      </c>
      <c r="G16" s="18">
        <f t="shared" si="1"/>
        <v>124135</v>
      </c>
      <c r="H16" s="18">
        <f t="shared" si="1"/>
        <v>112097</v>
      </c>
      <c r="I16" s="18">
        <f t="shared" si="1"/>
        <v>119436</v>
      </c>
      <c r="J16" s="18">
        <f t="shared" si="1"/>
        <v>117074</v>
      </c>
      <c r="K16" s="21">
        <f t="shared" si="1"/>
        <v>122961</v>
      </c>
      <c r="L16" s="19">
        <f t="shared" si="1"/>
        <v>136162</v>
      </c>
      <c r="M16" s="19">
        <f t="shared" si="1"/>
        <v>142073</v>
      </c>
      <c r="N16" s="19">
        <f t="shared" si="1"/>
        <v>149361</v>
      </c>
      <c r="O16" s="18">
        <f t="shared" si="1"/>
        <v>152969</v>
      </c>
      <c r="P16" s="18">
        <f t="shared" si="1"/>
        <v>148828</v>
      </c>
    </row>
    <row r="17" spans="2:16" ht="11.25">
      <c r="B17" s="3" t="s">
        <v>15</v>
      </c>
      <c r="C17" s="19">
        <f aca="true" t="shared" si="2" ref="C17:P17">SUM(C18:C20)</f>
        <v>0</v>
      </c>
      <c r="D17" s="19">
        <f t="shared" si="2"/>
        <v>0</v>
      </c>
      <c r="E17" s="19">
        <f t="shared" si="2"/>
        <v>0</v>
      </c>
      <c r="F17" s="20">
        <f t="shared" si="2"/>
        <v>750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21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8">
        <f t="shared" si="2"/>
        <v>0</v>
      </c>
      <c r="P17" s="18">
        <f t="shared" si="2"/>
        <v>0</v>
      </c>
    </row>
    <row r="18" spans="2:16" ht="11.25">
      <c r="B18" s="3" t="s">
        <v>19</v>
      </c>
      <c r="C18" s="19">
        <v>0</v>
      </c>
      <c r="D18" s="19">
        <v>0</v>
      </c>
      <c r="E18" s="19">
        <v>0</v>
      </c>
      <c r="F18" s="20">
        <v>0</v>
      </c>
      <c r="G18" s="18">
        <v>0</v>
      </c>
      <c r="H18" s="18">
        <v>0</v>
      </c>
      <c r="I18" s="18">
        <v>0</v>
      </c>
      <c r="J18" s="18">
        <v>0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</row>
    <row r="19" spans="2:16" ht="11.25">
      <c r="B19" s="3" t="s">
        <v>20</v>
      </c>
      <c r="C19" s="19">
        <v>0</v>
      </c>
      <c r="D19" s="19">
        <v>0</v>
      </c>
      <c r="E19" s="19">
        <v>0</v>
      </c>
      <c r="F19" s="20">
        <v>0</v>
      </c>
      <c r="G19" s="18">
        <v>0</v>
      </c>
      <c r="H19" s="18">
        <v>0</v>
      </c>
      <c r="I19" s="18">
        <v>0</v>
      </c>
      <c r="J19" s="18">
        <v>0</v>
      </c>
      <c r="K19" s="21">
        <v>0</v>
      </c>
      <c r="L19" s="19">
        <v>0</v>
      </c>
      <c r="M19" s="19">
        <v>0</v>
      </c>
      <c r="N19" s="19">
        <v>0</v>
      </c>
      <c r="O19" s="18">
        <v>0</v>
      </c>
      <c r="P19" s="18">
        <v>0</v>
      </c>
    </row>
    <row r="20" spans="2:16" ht="11.25">
      <c r="B20" s="3" t="s">
        <v>21</v>
      </c>
      <c r="C20" s="19">
        <v>0</v>
      </c>
      <c r="D20" s="19">
        <v>0</v>
      </c>
      <c r="E20" s="19"/>
      <c r="F20" s="25">
        <v>750</v>
      </c>
      <c r="G20" s="18">
        <v>0</v>
      </c>
      <c r="H20" s="18">
        <v>0</v>
      </c>
      <c r="I20" s="18">
        <v>0</v>
      </c>
      <c r="J20" s="18">
        <v>0</v>
      </c>
      <c r="K20" s="21">
        <v>0</v>
      </c>
      <c r="L20" s="19">
        <v>0</v>
      </c>
      <c r="M20" s="19">
        <v>0</v>
      </c>
      <c r="N20" s="19">
        <v>0</v>
      </c>
      <c r="O20" s="18">
        <v>0</v>
      </c>
      <c r="P20" s="18">
        <v>0</v>
      </c>
    </row>
    <row r="21" spans="2:16" ht="11.25">
      <c r="B21" s="3" t="s">
        <v>16</v>
      </c>
      <c r="C21" s="19">
        <f>SUM(C22:C24)</f>
        <v>267414</v>
      </c>
      <c r="D21" s="19">
        <f aca="true" t="shared" si="3" ref="D21:P21">SUM(D23:D24)</f>
        <v>129663</v>
      </c>
      <c r="E21" s="19">
        <f t="shared" si="3"/>
        <v>124804</v>
      </c>
      <c r="F21" s="20">
        <f t="shared" si="3"/>
        <v>128493</v>
      </c>
      <c r="G21" s="18">
        <f t="shared" si="3"/>
        <v>124135</v>
      </c>
      <c r="H21" s="18">
        <f t="shared" si="3"/>
        <v>112097</v>
      </c>
      <c r="I21" s="18">
        <f t="shared" si="3"/>
        <v>119436</v>
      </c>
      <c r="J21" s="18">
        <f t="shared" si="3"/>
        <v>117074</v>
      </c>
      <c r="K21" s="21">
        <f t="shared" si="3"/>
        <v>122961</v>
      </c>
      <c r="L21" s="19">
        <f t="shared" si="3"/>
        <v>136162</v>
      </c>
      <c r="M21" s="19">
        <f t="shared" si="3"/>
        <v>142073</v>
      </c>
      <c r="N21" s="19">
        <f t="shared" si="3"/>
        <v>149361</v>
      </c>
      <c r="O21" s="18">
        <f t="shared" si="3"/>
        <v>152969</v>
      </c>
      <c r="P21" s="18">
        <f t="shared" si="3"/>
        <v>148828</v>
      </c>
    </row>
    <row r="22" spans="2:16" ht="11.25">
      <c r="B22" s="3" t="s">
        <v>19</v>
      </c>
      <c r="C22" s="18">
        <v>654</v>
      </c>
      <c r="D22" s="19">
        <v>241</v>
      </c>
      <c r="E22" s="19">
        <v>225</v>
      </c>
      <c r="F22" s="20">
        <v>375</v>
      </c>
      <c r="G22" s="18"/>
      <c r="H22" s="18"/>
      <c r="I22" s="18"/>
      <c r="J22" s="18"/>
      <c r="K22" s="21"/>
      <c r="L22" s="19"/>
      <c r="M22" s="19"/>
      <c r="N22" s="19"/>
      <c r="O22" s="18"/>
      <c r="P22" s="18"/>
    </row>
    <row r="23" spans="2:16" ht="11.25">
      <c r="B23" s="3" t="s">
        <v>20</v>
      </c>
      <c r="C23" s="18">
        <v>206772</v>
      </c>
      <c r="D23" s="18">
        <v>112449</v>
      </c>
      <c r="E23" s="19">
        <v>114581</v>
      </c>
      <c r="F23" s="20">
        <v>115563</v>
      </c>
      <c r="G23" s="18">
        <f>4252+118110</f>
        <v>122362</v>
      </c>
      <c r="H23" s="18">
        <f>101649+5718</f>
        <v>107367</v>
      </c>
      <c r="I23" s="18">
        <v>119046</v>
      </c>
      <c r="J23" s="26">
        <v>116790</v>
      </c>
      <c r="K23" s="21">
        <f>20305+102656</f>
        <v>122961</v>
      </c>
      <c r="L23" s="19">
        <v>136162</v>
      </c>
      <c r="M23" s="19">
        <v>142073</v>
      </c>
      <c r="N23" s="19">
        <v>149361</v>
      </c>
      <c r="O23" s="18">
        <v>152969</v>
      </c>
      <c r="P23" s="18">
        <v>148828</v>
      </c>
    </row>
    <row r="24" spans="2:16" ht="11.25">
      <c r="B24" s="3" t="s">
        <v>21</v>
      </c>
      <c r="C24" s="18">
        <v>59988</v>
      </c>
      <c r="D24" s="18">
        <v>17214</v>
      </c>
      <c r="E24" s="19">
        <v>10223</v>
      </c>
      <c r="F24" s="20">
        <v>12930</v>
      </c>
      <c r="G24" s="18">
        <f>773+1000</f>
        <v>1773</v>
      </c>
      <c r="H24" s="18">
        <f>3230+1500</f>
        <v>4730</v>
      </c>
      <c r="I24" s="18">
        <v>390</v>
      </c>
      <c r="J24" s="18">
        <v>284</v>
      </c>
      <c r="K24" s="21"/>
      <c r="L24" s="19"/>
      <c r="M24" s="19"/>
      <c r="N24" s="19"/>
      <c r="O24" s="18"/>
      <c r="P24" s="18"/>
    </row>
    <row r="25" spans="1:16" ht="11.25">
      <c r="A25" s="4" t="s">
        <v>22</v>
      </c>
      <c r="B25" s="4"/>
      <c r="C25" s="27">
        <v>31435</v>
      </c>
      <c r="D25" s="27">
        <v>10192</v>
      </c>
      <c r="E25" s="27">
        <v>9762</v>
      </c>
      <c r="F25" s="28">
        <v>10031</v>
      </c>
      <c r="G25" s="27">
        <v>9868</v>
      </c>
      <c r="H25" s="27">
        <v>9818</v>
      </c>
      <c r="I25" s="27">
        <v>9918</v>
      </c>
      <c r="J25" s="27">
        <v>8626</v>
      </c>
      <c r="K25" s="29">
        <v>8636</v>
      </c>
      <c r="L25" s="27">
        <v>9080</v>
      </c>
      <c r="M25" s="27">
        <v>9319</v>
      </c>
      <c r="N25" s="27">
        <v>9389</v>
      </c>
      <c r="O25" s="27">
        <v>9524</v>
      </c>
      <c r="P25" s="27">
        <v>9206</v>
      </c>
    </row>
    <row r="26" spans="1:16" ht="11.25">
      <c r="A26" s="12" t="s">
        <v>23</v>
      </c>
      <c r="C26" s="6"/>
      <c r="D26" s="18"/>
      <c r="E26" s="19"/>
      <c r="F26" s="30"/>
      <c r="J26" s="18"/>
      <c r="K26" s="21"/>
      <c r="L26" s="19"/>
      <c r="M26" s="19"/>
      <c r="N26" s="19"/>
      <c r="O26" s="18"/>
      <c r="P26" s="18"/>
    </row>
    <row r="27" spans="1:16" ht="11.25">
      <c r="A27" s="3" t="s">
        <v>12</v>
      </c>
      <c r="C27" s="19">
        <f aca="true" t="shared" si="4" ref="C27:I27">(C10+G10)/2</f>
        <v>245633.5</v>
      </c>
      <c r="D27" s="19">
        <f t="shared" si="4"/>
        <v>156308</v>
      </c>
      <c r="E27" s="19">
        <f t="shared" si="4"/>
        <v>157869</v>
      </c>
      <c r="F27" s="20">
        <f t="shared" si="4"/>
        <v>161603</v>
      </c>
      <c r="G27" s="18">
        <f t="shared" si="4"/>
        <v>159035.5</v>
      </c>
      <c r="H27" s="18">
        <f t="shared" si="4"/>
        <v>154187</v>
      </c>
      <c r="I27" s="18">
        <f t="shared" si="4"/>
        <v>160629.5</v>
      </c>
      <c r="J27" s="18">
        <f>+(J10+N10)/2</f>
        <v>163467.5</v>
      </c>
      <c r="K27" s="21">
        <f>+(K10+O10)/2</f>
        <v>168207</v>
      </c>
      <c r="L27" s="19">
        <f>+(187129+L10)/2</f>
        <v>177212.5</v>
      </c>
      <c r="M27" s="19">
        <f>+(196021+M10)/2</f>
        <v>184347.5</v>
      </c>
      <c r="N27" s="19">
        <f>+(191756+N10)/2</f>
        <v>186650</v>
      </c>
      <c r="O27" s="18">
        <f>+(O10+P10)/2</f>
        <v>183541</v>
      </c>
      <c r="P27" s="18">
        <f>+(182753+122145)/2</f>
        <v>152449</v>
      </c>
    </row>
    <row r="28" spans="1:16" ht="11.25">
      <c r="A28" s="3" t="s">
        <v>24</v>
      </c>
      <c r="C28" s="19">
        <f aca="true" t="shared" si="5" ref="C28:P28">C29+C30</f>
        <v>225628</v>
      </c>
      <c r="D28" s="19">
        <f t="shared" si="5"/>
        <v>148091.5</v>
      </c>
      <c r="E28" s="19">
        <f t="shared" si="5"/>
        <v>142421</v>
      </c>
      <c r="F28" s="20">
        <f t="shared" si="5"/>
        <v>149217.5</v>
      </c>
      <c r="G28" s="18">
        <f t="shared" si="5"/>
        <v>148255.5</v>
      </c>
      <c r="H28" s="18">
        <f t="shared" si="5"/>
        <v>140306</v>
      </c>
      <c r="I28" s="18">
        <f t="shared" si="5"/>
        <v>138311.5</v>
      </c>
      <c r="J28" s="18">
        <f t="shared" si="5"/>
        <v>143527</v>
      </c>
      <c r="K28" s="21">
        <f t="shared" si="5"/>
        <v>152224</v>
      </c>
      <c r="L28" s="19">
        <f t="shared" si="5"/>
        <v>160765.5</v>
      </c>
      <c r="M28" s="19">
        <f t="shared" si="5"/>
        <v>163324</v>
      </c>
      <c r="N28" s="19">
        <f t="shared" si="5"/>
        <v>168111</v>
      </c>
      <c r="O28" s="18">
        <f t="shared" si="5"/>
        <v>164599</v>
      </c>
      <c r="P28" s="18">
        <f t="shared" si="5"/>
        <v>134840</v>
      </c>
    </row>
    <row r="29" spans="2:16" ht="11.25">
      <c r="B29" s="3" t="s">
        <v>14</v>
      </c>
      <c r="C29" s="19">
        <f aca="true" t="shared" si="6" ref="C29:I29">(C12+G12)/2</f>
        <v>224803.5</v>
      </c>
      <c r="D29" s="19">
        <f t="shared" si="6"/>
        <v>147350.5</v>
      </c>
      <c r="E29" s="19">
        <f t="shared" si="6"/>
        <v>141929.5</v>
      </c>
      <c r="F29" s="20">
        <f t="shared" si="6"/>
        <v>148442</v>
      </c>
      <c r="G29" s="18">
        <f t="shared" si="6"/>
        <v>147514</v>
      </c>
      <c r="H29" s="18">
        <f t="shared" si="6"/>
        <v>139421</v>
      </c>
      <c r="I29" s="18">
        <f t="shared" si="6"/>
        <v>137676</v>
      </c>
      <c r="J29" s="18">
        <f>+(J12+N12)/2</f>
        <v>143133</v>
      </c>
      <c r="K29" s="21">
        <f>+(K12+O12)/2</f>
        <v>152078</v>
      </c>
      <c r="L29" s="19">
        <f>+(170529+L12)/2</f>
        <v>159955.5</v>
      </c>
      <c r="M29" s="19">
        <f>+(171243+M12)/2</f>
        <v>161304.5</v>
      </c>
      <c r="N29" s="19">
        <f>+(171850+N12)/2</f>
        <v>164815.5</v>
      </c>
      <c r="O29" s="18">
        <f>+(O12+P12)/2</f>
        <v>163301.5</v>
      </c>
      <c r="P29" s="18">
        <f>+(161693+93752)/2</f>
        <v>127722.5</v>
      </c>
    </row>
    <row r="30" spans="2:16" ht="11.25">
      <c r="B30" s="3" t="s">
        <v>17</v>
      </c>
      <c r="C30" s="19">
        <f aca="true" t="shared" si="7" ref="C30:I30">(C15+G15)/2</f>
        <v>824.5</v>
      </c>
      <c r="D30" s="19">
        <f t="shared" si="7"/>
        <v>741</v>
      </c>
      <c r="E30" s="19">
        <f t="shared" si="7"/>
        <v>491.5</v>
      </c>
      <c r="F30" s="20">
        <f t="shared" si="7"/>
        <v>775.5</v>
      </c>
      <c r="G30" s="18">
        <f t="shared" si="7"/>
        <v>741.5</v>
      </c>
      <c r="H30" s="18">
        <f t="shared" si="7"/>
        <v>885</v>
      </c>
      <c r="I30" s="18">
        <f t="shared" si="7"/>
        <v>635.5</v>
      </c>
      <c r="J30" s="18">
        <f>+(J15+N15)/2</f>
        <v>394</v>
      </c>
      <c r="K30" s="21">
        <f>+(K15+O15)/2</f>
        <v>146</v>
      </c>
      <c r="L30" s="19">
        <f>+(1332+L15)/2</f>
        <v>810</v>
      </c>
      <c r="M30" s="19">
        <f>+(3751+M15)/2</f>
        <v>2019.5</v>
      </c>
      <c r="N30" s="19">
        <f>+(6303+N15)/2</f>
        <v>3295.5</v>
      </c>
      <c r="O30" s="18">
        <f>+(O15+P15)/2</f>
        <v>1297.5</v>
      </c>
      <c r="P30" s="18">
        <f>+(2303+11932)/2</f>
        <v>7117.5</v>
      </c>
    </row>
    <row r="31" spans="1:16" ht="11.25">
      <c r="A31" s="4" t="s">
        <v>22</v>
      </c>
      <c r="B31" s="4"/>
      <c r="C31" s="27">
        <f aca="true" t="shared" si="8" ref="C31:I31">(C25+G25)/2</f>
        <v>20651.5</v>
      </c>
      <c r="D31" s="19">
        <f t="shared" si="8"/>
        <v>10005</v>
      </c>
      <c r="E31" s="19">
        <f t="shared" si="8"/>
        <v>9840</v>
      </c>
      <c r="F31" s="28">
        <f t="shared" si="8"/>
        <v>9328.5</v>
      </c>
      <c r="G31" s="27">
        <f t="shared" si="8"/>
        <v>9252</v>
      </c>
      <c r="H31" s="27">
        <f t="shared" si="8"/>
        <v>9449</v>
      </c>
      <c r="I31" s="27">
        <f t="shared" si="8"/>
        <v>9618.5</v>
      </c>
      <c r="J31" s="27">
        <f>+(J25+N25)/2</f>
        <v>9007.5</v>
      </c>
      <c r="K31" s="29">
        <f>+(K25+O25)/2</f>
        <v>9080</v>
      </c>
      <c r="L31" s="27">
        <f>+(9101+L25)/2</f>
        <v>9090.5</v>
      </c>
      <c r="M31" s="27">
        <f>+(9139+M25)/2</f>
        <v>9229</v>
      </c>
      <c r="N31" s="27">
        <f>+(8924+N25)/2</f>
        <v>9156.5</v>
      </c>
      <c r="O31" s="27">
        <f>+(O25+P25)/2</f>
        <v>9365</v>
      </c>
      <c r="P31" s="27">
        <f>+(9206+5424)/2</f>
        <v>7315</v>
      </c>
    </row>
    <row r="32" spans="1:14" ht="11.25">
      <c r="A32" s="12" t="s">
        <v>25</v>
      </c>
      <c r="D32" s="31"/>
      <c r="E32" s="31"/>
      <c r="F32" s="30"/>
      <c r="K32" s="32"/>
      <c r="L32" s="5"/>
      <c r="M32" s="5"/>
      <c r="N32" s="5"/>
    </row>
    <row r="33" spans="1:16" ht="11.25">
      <c r="A33" s="3" t="s">
        <v>26</v>
      </c>
      <c r="C33" s="18">
        <v>25041</v>
      </c>
      <c r="D33" s="19">
        <v>9853</v>
      </c>
      <c r="E33" s="19">
        <v>6442</v>
      </c>
      <c r="F33" s="20">
        <v>3199</v>
      </c>
      <c r="G33" s="18">
        <v>12950</v>
      </c>
      <c r="H33" s="18">
        <v>9720</v>
      </c>
      <c r="I33" s="18">
        <v>6724</v>
      </c>
      <c r="J33" s="18">
        <v>3461</v>
      </c>
      <c r="K33" s="21">
        <v>16577</v>
      </c>
      <c r="L33" s="19">
        <v>12882</v>
      </c>
      <c r="M33" s="19">
        <v>8674</v>
      </c>
      <c r="N33" s="19">
        <v>4402</v>
      </c>
      <c r="O33" s="18">
        <v>13292</v>
      </c>
      <c r="P33" s="18">
        <v>17453</v>
      </c>
    </row>
    <row r="34" spans="1:16" ht="11.25">
      <c r="A34" s="3" t="s">
        <v>27</v>
      </c>
      <c r="C34" s="18">
        <v>21708</v>
      </c>
      <c r="D34" s="19">
        <v>8435</v>
      </c>
      <c r="E34" s="19">
        <v>5701</v>
      </c>
      <c r="F34" s="20">
        <v>2883</v>
      </c>
      <c r="G34" s="18">
        <v>11993</v>
      </c>
      <c r="H34" s="18">
        <v>8989</v>
      </c>
      <c r="I34" s="18">
        <v>6132</v>
      </c>
      <c r="J34" s="18">
        <v>3136</v>
      </c>
      <c r="K34" s="21">
        <v>14540</v>
      </c>
      <c r="L34" s="19">
        <v>11052</v>
      </c>
      <c r="M34" s="19">
        <v>7445</v>
      </c>
      <c r="N34" s="19">
        <v>3785</v>
      </c>
      <c r="O34" s="18">
        <v>15386</v>
      </c>
      <c r="P34" s="18">
        <v>13935</v>
      </c>
    </row>
    <row r="35" spans="1:16" ht="11.25">
      <c r="A35" s="3" t="s">
        <v>28</v>
      </c>
      <c r="C35" s="18">
        <f>+C33-C34</f>
        <v>3333</v>
      </c>
      <c r="D35" s="19">
        <f>+D33-D34</f>
        <v>1418</v>
      </c>
      <c r="E35" s="19">
        <f>+E33-E34</f>
        <v>741</v>
      </c>
      <c r="F35" s="20">
        <f>+F33-F34</f>
        <v>316</v>
      </c>
      <c r="G35" s="18">
        <f>+G33-G34</f>
        <v>957</v>
      </c>
      <c r="H35" s="18">
        <f aca="true" t="shared" si="9" ref="H35:P35">H33-H34</f>
        <v>731</v>
      </c>
      <c r="I35" s="18">
        <f t="shared" si="9"/>
        <v>592</v>
      </c>
      <c r="J35" s="18">
        <f t="shared" si="9"/>
        <v>325</v>
      </c>
      <c r="K35" s="21">
        <f t="shared" si="9"/>
        <v>2037</v>
      </c>
      <c r="L35" s="19">
        <f t="shared" si="9"/>
        <v>1830</v>
      </c>
      <c r="M35" s="19">
        <f t="shared" si="9"/>
        <v>1229</v>
      </c>
      <c r="N35" s="19">
        <f t="shared" si="9"/>
        <v>617</v>
      </c>
      <c r="O35" s="18">
        <f t="shared" si="9"/>
        <v>-2094</v>
      </c>
      <c r="P35" s="18">
        <f t="shared" si="9"/>
        <v>3518</v>
      </c>
    </row>
    <row r="36" spans="1:16" ht="11.25">
      <c r="A36" s="3" t="s">
        <v>29</v>
      </c>
      <c r="C36" s="18">
        <v>1619</v>
      </c>
      <c r="D36" s="19">
        <v>422</v>
      </c>
      <c r="E36" s="19">
        <v>298</v>
      </c>
      <c r="F36" s="20">
        <v>175</v>
      </c>
      <c r="G36" s="18">
        <v>542</v>
      </c>
      <c r="H36" s="18">
        <v>182</v>
      </c>
      <c r="I36" s="18">
        <v>89</v>
      </c>
      <c r="J36" s="18">
        <v>23</v>
      </c>
      <c r="K36" s="21">
        <v>1020</v>
      </c>
      <c r="L36" s="19">
        <v>582</v>
      </c>
      <c r="M36" s="19">
        <v>481</v>
      </c>
      <c r="N36" s="19">
        <v>114</v>
      </c>
      <c r="O36" s="18">
        <v>6170</v>
      </c>
      <c r="P36" s="18">
        <v>2433</v>
      </c>
    </row>
    <row r="37" spans="1:16" ht="11.25">
      <c r="A37" s="3" t="s">
        <v>30</v>
      </c>
      <c r="C37" s="18">
        <f>+C36+C35</f>
        <v>4952</v>
      </c>
      <c r="D37" s="19">
        <f>+D36+D35</f>
        <v>1840</v>
      </c>
      <c r="E37" s="19">
        <f>+E36+E35</f>
        <v>1039</v>
      </c>
      <c r="F37" s="20">
        <f>+F35+F36</f>
        <v>491</v>
      </c>
      <c r="G37" s="18">
        <f>+G36+G35</f>
        <v>1499</v>
      </c>
      <c r="H37" s="18">
        <f aca="true" t="shared" si="10" ref="H37:P37">H35+H36</f>
        <v>913</v>
      </c>
      <c r="I37" s="18">
        <f t="shared" si="10"/>
        <v>681</v>
      </c>
      <c r="J37" s="18">
        <f t="shared" si="10"/>
        <v>348</v>
      </c>
      <c r="K37" s="21">
        <f t="shared" si="10"/>
        <v>3057</v>
      </c>
      <c r="L37" s="19">
        <f t="shared" si="10"/>
        <v>2412</v>
      </c>
      <c r="M37" s="19">
        <f t="shared" si="10"/>
        <v>1710</v>
      </c>
      <c r="N37" s="19">
        <f t="shared" si="10"/>
        <v>731</v>
      </c>
      <c r="O37" s="18">
        <f t="shared" si="10"/>
        <v>4076</v>
      </c>
      <c r="P37" s="18">
        <f t="shared" si="10"/>
        <v>5951</v>
      </c>
    </row>
    <row r="38" spans="1:16" ht="11.25">
      <c r="A38" s="3" t="s">
        <v>31</v>
      </c>
      <c r="C38" s="18">
        <v>2750</v>
      </c>
      <c r="D38" s="19">
        <v>993</v>
      </c>
      <c r="E38" s="19">
        <v>649</v>
      </c>
      <c r="F38" s="20">
        <v>308</v>
      </c>
      <c r="G38" s="18">
        <v>1311</v>
      </c>
      <c r="H38" s="18">
        <v>801</v>
      </c>
      <c r="I38" s="18">
        <v>510</v>
      </c>
      <c r="J38" s="18">
        <v>260</v>
      </c>
      <c r="K38" s="21">
        <v>3528</v>
      </c>
      <c r="L38" s="19">
        <v>2568</v>
      </c>
      <c r="M38" s="19">
        <v>1669</v>
      </c>
      <c r="N38" s="19">
        <v>840</v>
      </c>
      <c r="O38" s="18">
        <v>3018</v>
      </c>
      <c r="P38" s="18">
        <v>5043</v>
      </c>
    </row>
    <row r="39" spans="1:16" ht="11.25">
      <c r="A39" s="3" t="s">
        <v>32</v>
      </c>
      <c r="C39" s="18">
        <f>+C37-C38</f>
        <v>2202</v>
      </c>
      <c r="D39" s="19">
        <f>+D37-D38</f>
        <v>847</v>
      </c>
      <c r="E39" s="19">
        <f>+E37-E38</f>
        <v>390</v>
      </c>
      <c r="F39" s="20">
        <f>+F37-F38</f>
        <v>183</v>
      </c>
      <c r="G39" s="18">
        <f>+G37-G38</f>
        <v>188</v>
      </c>
      <c r="H39" s="18">
        <f aca="true" t="shared" si="11" ref="H39:P39">H37-H38</f>
        <v>112</v>
      </c>
      <c r="I39" s="18">
        <f t="shared" si="11"/>
        <v>171</v>
      </c>
      <c r="J39" s="18">
        <f t="shared" si="11"/>
        <v>88</v>
      </c>
      <c r="K39" s="21">
        <f t="shared" si="11"/>
        <v>-471</v>
      </c>
      <c r="L39" s="19">
        <f t="shared" si="11"/>
        <v>-156</v>
      </c>
      <c r="M39" s="19">
        <f t="shared" si="11"/>
        <v>41</v>
      </c>
      <c r="N39" s="19">
        <f t="shared" si="11"/>
        <v>-109</v>
      </c>
      <c r="O39" s="18">
        <f t="shared" si="11"/>
        <v>1058</v>
      </c>
      <c r="P39" s="18">
        <f t="shared" si="11"/>
        <v>908</v>
      </c>
    </row>
    <row r="40" spans="1:16" ht="11.25">
      <c r="A40" s="4" t="s">
        <v>33</v>
      </c>
      <c r="B40" s="4"/>
      <c r="C40" s="27">
        <f>+C39-857</f>
        <v>1345</v>
      </c>
      <c r="D40" s="27">
        <v>323</v>
      </c>
      <c r="E40" s="27">
        <v>-106</v>
      </c>
      <c r="F40" s="28">
        <f>+F39-19</f>
        <v>164</v>
      </c>
      <c r="G40" s="27">
        <f>+G39-234</f>
        <v>-46</v>
      </c>
      <c r="H40" s="27">
        <v>-96</v>
      </c>
      <c r="I40" s="27">
        <v>3</v>
      </c>
      <c r="J40" s="27">
        <v>61</v>
      </c>
      <c r="K40" s="29">
        <v>-769</v>
      </c>
      <c r="L40" s="27">
        <v>-442</v>
      </c>
      <c r="M40" s="27">
        <v>-202</v>
      </c>
      <c r="N40" s="27">
        <v>-134</v>
      </c>
      <c r="O40" s="27">
        <v>758</v>
      </c>
      <c r="P40" s="27">
        <v>672</v>
      </c>
    </row>
    <row r="41" spans="1:16" ht="11.25">
      <c r="A41" s="33" t="s">
        <v>34</v>
      </c>
      <c r="B41" s="6"/>
      <c r="C41" s="5"/>
      <c r="D41" s="18"/>
      <c r="E41" s="19"/>
      <c r="F41" s="30"/>
      <c r="G41" s="5"/>
      <c r="H41" s="5"/>
      <c r="I41" s="18"/>
      <c r="J41" s="6"/>
      <c r="K41" s="34"/>
      <c r="L41" s="6"/>
      <c r="M41" s="6"/>
      <c r="N41" s="5"/>
      <c r="O41" s="6"/>
      <c r="P41" s="6"/>
    </row>
    <row r="42" spans="1:16" ht="11.25">
      <c r="A42" s="5" t="s">
        <v>35</v>
      </c>
      <c r="B42" s="5"/>
      <c r="C42" s="19">
        <v>21550</v>
      </c>
      <c r="D42" s="18">
        <v>7481</v>
      </c>
      <c r="E42" s="19">
        <v>8649</v>
      </c>
      <c r="F42" s="20">
        <v>5891</v>
      </c>
      <c r="G42" s="19">
        <v>19587</v>
      </c>
      <c r="H42" s="19">
        <v>18806</v>
      </c>
      <c r="I42" s="18">
        <v>18111</v>
      </c>
      <c r="J42" s="19">
        <v>19265</v>
      </c>
      <c r="K42" s="21">
        <v>27683</v>
      </c>
      <c r="L42" s="19">
        <v>23883</v>
      </c>
      <c r="M42" s="19">
        <v>19029</v>
      </c>
      <c r="N42" s="19">
        <v>33549</v>
      </c>
      <c r="O42" s="19">
        <v>9237</v>
      </c>
      <c r="P42" s="19">
        <v>11911</v>
      </c>
    </row>
    <row r="43" spans="1:16" ht="11.25">
      <c r="A43" s="5" t="s">
        <v>36</v>
      </c>
      <c r="B43" s="5"/>
      <c r="C43" s="5">
        <v>4101</v>
      </c>
      <c r="D43" s="18">
        <v>1708</v>
      </c>
      <c r="E43" s="19">
        <v>1746</v>
      </c>
      <c r="F43" s="20">
        <v>1901</v>
      </c>
      <c r="G43" s="19">
        <v>1883</v>
      </c>
      <c r="H43" s="19">
        <v>1857</v>
      </c>
      <c r="I43" s="18">
        <v>1815</v>
      </c>
      <c r="J43" s="19">
        <v>1675</v>
      </c>
      <c r="K43" s="21">
        <v>1657</v>
      </c>
      <c r="L43" s="19">
        <v>1652</v>
      </c>
      <c r="M43" s="19">
        <v>1646</v>
      </c>
      <c r="N43" s="19">
        <v>1734</v>
      </c>
      <c r="O43" s="19">
        <v>1746</v>
      </c>
      <c r="P43" s="19">
        <v>1814</v>
      </c>
    </row>
    <row r="44" spans="1:16" ht="11.25">
      <c r="A44" s="5" t="s">
        <v>37</v>
      </c>
      <c r="B44" s="5"/>
      <c r="C44" s="35">
        <f aca="true" t="shared" si="12" ref="C44:I44">C42/C12</f>
        <v>0.07334297626138007</v>
      </c>
      <c r="D44" s="35">
        <f t="shared" si="12"/>
        <v>0.04527326753045552</v>
      </c>
      <c r="E44" s="35">
        <f t="shared" si="12"/>
        <v>0.05409919123304122</v>
      </c>
      <c r="F44" s="36">
        <f t="shared" si="12"/>
        <v>0.03498239300708437</v>
      </c>
      <c r="G44" s="37">
        <f t="shared" si="12"/>
        <v>0.1257333966697051</v>
      </c>
      <c r="H44" s="37">
        <f t="shared" si="12"/>
        <v>0.1452649467016839</v>
      </c>
      <c r="I44" s="37">
        <f t="shared" si="12"/>
        <v>0.1460729437194522</v>
      </c>
      <c r="J44" s="35">
        <f>+J42/J12</f>
        <v>0.14993968167490368</v>
      </c>
      <c r="K44" s="38">
        <f>+K42/K12</f>
        <v>0.19880642890998665</v>
      </c>
      <c r="L44" s="35">
        <f>L42/L12</f>
        <v>0.15987870024500944</v>
      </c>
      <c r="M44" s="35">
        <f>M42/M12</f>
        <v>0.12571515399759522</v>
      </c>
      <c r="N44" s="35">
        <f>N42/N12</f>
        <v>0.2126301645952301</v>
      </c>
      <c r="O44" s="35">
        <f>O42/O12</f>
        <v>0.05601237038384573</v>
      </c>
      <c r="P44" s="35">
        <f>P42/P12</f>
        <v>0.07366428973424947</v>
      </c>
    </row>
    <row r="45" spans="1:16" ht="11.25">
      <c r="A45" s="5" t="s">
        <v>38</v>
      </c>
      <c r="B45" s="5"/>
      <c r="C45" s="35">
        <f>C43/C42</f>
        <v>0.1903016241299304</v>
      </c>
      <c r="D45" s="35">
        <f>D43/D42</f>
        <v>0.22831172303168026</v>
      </c>
      <c r="E45" s="35">
        <f aca="true" t="shared" si="13" ref="E45:P45">+E43/E42</f>
        <v>0.20187304890738814</v>
      </c>
      <c r="F45" s="36">
        <f t="shared" si="13"/>
        <v>0.3226956374130029</v>
      </c>
      <c r="G45" s="35">
        <f t="shared" si="13"/>
        <v>0.09613519170878644</v>
      </c>
      <c r="H45" s="35">
        <f t="shared" si="13"/>
        <v>0.09874508135701372</v>
      </c>
      <c r="I45" s="35">
        <f t="shared" si="13"/>
        <v>0.10021533874440948</v>
      </c>
      <c r="J45" s="35">
        <f t="shared" si="13"/>
        <v>0.08694523747729042</v>
      </c>
      <c r="K45" s="38">
        <f t="shared" si="13"/>
        <v>0.05985622945490012</v>
      </c>
      <c r="L45" s="35">
        <f t="shared" si="13"/>
        <v>0.06917053971444123</v>
      </c>
      <c r="M45" s="35">
        <f t="shared" si="13"/>
        <v>0.08649955331336381</v>
      </c>
      <c r="N45" s="35">
        <f t="shared" si="13"/>
        <v>0.05168559420549047</v>
      </c>
      <c r="O45" s="35">
        <f t="shared" si="13"/>
        <v>0.1890224098733355</v>
      </c>
      <c r="P45" s="35">
        <f t="shared" si="13"/>
        <v>0.15229619679288053</v>
      </c>
    </row>
    <row r="46" spans="1:16" ht="11.25">
      <c r="A46" s="4" t="s">
        <v>39</v>
      </c>
      <c r="B46" s="4"/>
      <c r="C46" s="39">
        <f aca="true" t="shared" si="14" ref="C46:I46">C43/C12</f>
        <v>0.013957287501063557</v>
      </c>
      <c r="D46" s="39">
        <f t="shared" si="14"/>
        <v>0.010336417717152522</v>
      </c>
      <c r="E46" s="39">
        <f t="shared" si="14"/>
        <v>0.010921168677637875</v>
      </c>
      <c r="F46" s="40">
        <f t="shared" si="14"/>
        <v>0.011288665609653263</v>
      </c>
      <c r="G46" s="39">
        <f t="shared" si="14"/>
        <v>0.01208740419303899</v>
      </c>
      <c r="H46" s="39">
        <f t="shared" si="14"/>
        <v>0.01434419898038004</v>
      </c>
      <c r="I46" s="39">
        <f t="shared" si="14"/>
        <v>0.014638749536237962</v>
      </c>
      <c r="J46" s="39">
        <f>+J43/J12</f>
        <v>0.013036541230493833</v>
      </c>
      <c r="K46" s="41">
        <f>1657/K12</f>
        <v>0.011899803225945449</v>
      </c>
      <c r="L46" s="39">
        <f>1652/L12</f>
        <v>0.011058895984790672</v>
      </c>
      <c r="M46" s="39">
        <f>1646/M12</f>
        <v>0.010874304665512731</v>
      </c>
      <c r="N46" s="39">
        <f>1734/N12</f>
        <v>0.010989916403115712</v>
      </c>
      <c r="O46" s="39">
        <f>1746/O12</f>
        <v>0.010587593232672367</v>
      </c>
      <c r="P46" s="39">
        <f>1814/P12</f>
        <v>0.011218791165975026</v>
      </c>
    </row>
    <row r="47" spans="1:18" s="2" customFormat="1" ht="11.25">
      <c r="A47" s="42" t="s">
        <v>40</v>
      </c>
      <c r="B47" s="43"/>
      <c r="C47" s="43"/>
      <c r="D47" s="3"/>
      <c r="E47" s="19"/>
      <c r="F47" s="44"/>
      <c r="G47" s="45"/>
      <c r="H47" s="45"/>
      <c r="I47" s="45"/>
      <c r="J47" s="46"/>
      <c r="K47" s="45"/>
      <c r="L47" s="45"/>
      <c r="M47" s="45"/>
      <c r="N47" s="47"/>
      <c r="O47" s="45"/>
      <c r="P47" s="45"/>
      <c r="Q47" s="43"/>
      <c r="R47" s="43"/>
    </row>
    <row r="48" spans="1:18" s="2" customFormat="1" ht="11.25">
      <c r="A48" s="43" t="s">
        <v>41</v>
      </c>
      <c r="B48" s="43"/>
      <c r="C48" s="35">
        <f>+C25/C12</f>
        <v>0.10698545052327066</v>
      </c>
      <c r="D48" s="35">
        <f>+D25/D12</f>
        <v>0.061679607361369154</v>
      </c>
      <c r="E48" s="35">
        <f>+E25/E12</f>
        <v>0.061060967142669495</v>
      </c>
      <c r="F48" s="48">
        <f aca="true" t="shared" si="15" ref="F48:P48">F25/F12</f>
        <v>0.05956686203599784</v>
      </c>
      <c r="G48" s="49">
        <f t="shared" si="15"/>
        <v>0.06334493073654208</v>
      </c>
      <c r="H48" s="49">
        <f t="shared" si="15"/>
        <v>0.07583809670940832</v>
      </c>
      <c r="I48" s="49">
        <f t="shared" si="15"/>
        <v>0.07999290242446729</v>
      </c>
      <c r="J48" s="48">
        <f t="shared" si="15"/>
        <v>0.06713624158462077</v>
      </c>
      <c r="K48" s="49">
        <f t="shared" si="15"/>
        <v>0.062019734857733794</v>
      </c>
      <c r="L48" s="49">
        <f t="shared" si="15"/>
        <v>0.06078376243456374</v>
      </c>
      <c r="M48" s="49">
        <f t="shared" si="15"/>
        <v>0.061566005575888906</v>
      </c>
      <c r="N48" s="49">
        <f t="shared" si="15"/>
        <v>0.059506531204644414</v>
      </c>
      <c r="O48" s="49">
        <f t="shared" si="15"/>
        <v>0.057752713601358314</v>
      </c>
      <c r="P48" s="49">
        <f t="shared" si="15"/>
        <v>0.05693505593934184</v>
      </c>
      <c r="Q48" s="43"/>
      <c r="R48" s="43"/>
    </row>
    <row r="49" spans="1:18" s="2" customFormat="1" ht="11.25">
      <c r="A49" s="50" t="s">
        <v>42</v>
      </c>
      <c r="B49" s="50"/>
      <c r="C49" s="39">
        <f aca="true" t="shared" si="16" ref="C49:P49">C25/(C12+C15)</f>
        <v>0.10692504192305206</v>
      </c>
      <c r="D49" s="39">
        <f t="shared" si="16"/>
        <v>0.061679607361369154</v>
      </c>
      <c r="E49" s="39">
        <f t="shared" si="16"/>
        <v>0.061060967142669495</v>
      </c>
      <c r="F49" s="51">
        <f t="shared" si="16"/>
        <v>0.05919740336382414</v>
      </c>
      <c r="G49" s="52">
        <f t="shared" si="16"/>
        <v>0.06274759164467618</v>
      </c>
      <c r="H49" s="52">
        <f t="shared" si="16"/>
        <v>0.07497976203204472</v>
      </c>
      <c r="I49" s="52">
        <f t="shared" si="16"/>
        <v>0.0793636821931839</v>
      </c>
      <c r="J49" s="51">
        <f t="shared" si="16"/>
        <v>0.06687599333255805</v>
      </c>
      <c r="K49" s="52">
        <f t="shared" si="16"/>
        <v>0.062019734857733794</v>
      </c>
      <c r="L49" s="52">
        <f t="shared" si="16"/>
        <v>0.06066680029398009</v>
      </c>
      <c r="M49" s="52">
        <f t="shared" si="16"/>
        <v>0.06144908805570575</v>
      </c>
      <c r="N49" s="52">
        <f t="shared" si="16"/>
        <v>0.05939811095154648</v>
      </c>
      <c r="O49" s="52">
        <f t="shared" si="16"/>
        <v>0.05765063376956695</v>
      </c>
      <c r="P49" s="52">
        <f t="shared" si="16"/>
        <v>0.056135515500378055</v>
      </c>
      <c r="Q49" s="43"/>
      <c r="R49" s="43"/>
    </row>
    <row r="50" spans="1:14" ht="11.25">
      <c r="A50" s="12" t="s">
        <v>43</v>
      </c>
      <c r="C50" s="19"/>
      <c r="D50" s="19"/>
      <c r="E50" s="19"/>
      <c r="F50" s="30"/>
      <c r="K50" s="32"/>
      <c r="L50" s="5"/>
      <c r="M50" s="5"/>
      <c r="N50" s="5"/>
    </row>
    <row r="51" spans="1:16" ht="11.25">
      <c r="A51" s="3" t="s">
        <v>44</v>
      </c>
      <c r="C51" s="35">
        <f aca="true" t="shared" si="17" ref="C51:P51">C11/C16</f>
        <v>0.07740058486092725</v>
      </c>
      <c r="D51" s="35">
        <f t="shared" si="17"/>
        <v>0.020291062215126904</v>
      </c>
      <c r="E51" s="35">
        <f t="shared" si="17"/>
        <v>0.024454344412038077</v>
      </c>
      <c r="F51" s="53">
        <f t="shared" si="17"/>
        <v>0.03201720789520516</v>
      </c>
      <c r="G51" s="54">
        <f t="shared" si="17"/>
        <v>0.032649937567970355</v>
      </c>
      <c r="H51" s="54">
        <f t="shared" si="17"/>
        <v>0.04535357770502333</v>
      </c>
      <c r="I51" s="54">
        <f t="shared" si="17"/>
        <v>0.15424997488194514</v>
      </c>
      <c r="J51" s="37">
        <f t="shared" si="17"/>
        <v>0.08484377402326733</v>
      </c>
      <c r="K51" s="38">
        <f t="shared" si="17"/>
        <v>0.03887411455664804</v>
      </c>
      <c r="L51" s="35">
        <f t="shared" si="17"/>
        <v>0.06975514460715912</v>
      </c>
      <c r="M51" s="35">
        <f t="shared" si="17"/>
        <v>0.08824336784610728</v>
      </c>
      <c r="N51" s="35">
        <f t="shared" si="17"/>
        <v>0.05326022187853589</v>
      </c>
      <c r="O51" s="37">
        <f t="shared" si="17"/>
        <v>0.029090861547110852</v>
      </c>
      <c r="P51" s="37">
        <f t="shared" si="17"/>
        <v>0.046415996989813746</v>
      </c>
    </row>
    <row r="52" spans="1:16" ht="11.25">
      <c r="A52" s="3" t="s">
        <v>45</v>
      </c>
      <c r="C52" s="35">
        <f aca="true" t="shared" si="18" ref="C52:P52">C11/C10</f>
        <v>0.06363113738582948</v>
      </c>
      <c r="D52" s="35">
        <f t="shared" si="18"/>
        <v>0.015337709428814607</v>
      </c>
      <c r="E52" s="35">
        <f t="shared" si="18"/>
        <v>0.01825872105197035</v>
      </c>
      <c r="F52" s="53">
        <f t="shared" si="18"/>
        <v>0.023271377555324355</v>
      </c>
      <c r="G52" s="54">
        <f t="shared" si="18"/>
        <v>0.024417721976552238</v>
      </c>
      <c r="H52" s="54">
        <f t="shared" si="18"/>
        <v>0.036036802336296234</v>
      </c>
      <c r="I52" s="54">
        <f t="shared" si="18"/>
        <v>0.12398963556213616</v>
      </c>
      <c r="J52" s="37">
        <f t="shared" si="18"/>
        <v>0.06831922196009381</v>
      </c>
      <c r="K52" s="38">
        <f t="shared" si="18"/>
        <v>0.031429792550218626</v>
      </c>
      <c r="L52" s="35">
        <f t="shared" si="18"/>
        <v>0.056773622800306046</v>
      </c>
      <c r="M52" s="35">
        <f t="shared" si="18"/>
        <v>0.07260502449702909</v>
      </c>
      <c r="N52" s="35">
        <f t="shared" si="18"/>
        <v>0.04381857841625171</v>
      </c>
      <c r="O52" s="37">
        <f t="shared" si="18"/>
        <v>0.024141616349028096</v>
      </c>
      <c r="P52" s="37">
        <f t="shared" si="18"/>
        <v>0.03779965308367031</v>
      </c>
    </row>
    <row r="53" spans="1:16" ht="11.25">
      <c r="A53" s="4" t="s">
        <v>46</v>
      </c>
      <c r="B53" s="4"/>
      <c r="C53" s="39">
        <f aca="true" t="shared" si="19" ref="C53:P53">(C11+C15)/C16</f>
        <v>0.07802134518013268</v>
      </c>
      <c r="D53" s="39">
        <f t="shared" si="19"/>
        <v>0.020291062215126904</v>
      </c>
      <c r="E53" s="39">
        <f t="shared" si="19"/>
        <v>0.024454344412038077</v>
      </c>
      <c r="F53" s="55">
        <f t="shared" si="19"/>
        <v>0.04014917635771376</v>
      </c>
      <c r="G53" s="56">
        <f t="shared" si="19"/>
        <v>0.04459660853103476</v>
      </c>
      <c r="H53" s="56">
        <f t="shared" si="19"/>
        <v>0.05857427049787238</v>
      </c>
      <c r="I53" s="56">
        <f t="shared" si="19"/>
        <v>0.16248032419036137</v>
      </c>
      <c r="J53" s="39">
        <f t="shared" si="19"/>
        <v>0.08911457710507883</v>
      </c>
      <c r="K53" s="41">
        <f t="shared" si="19"/>
        <v>0.03887411455664804</v>
      </c>
      <c r="L53" s="39">
        <f t="shared" si="19"/>
        <v>0.0718702721757906</v>
      </c>
      <c r="M53" s="39">
        <f t="shared" si="19"/>
        <v>0.09027049474565892</v>
      </c>
      <c r="N53" s="39">
        <f t="shared" si="19"/>
        <v>0.05518843607099577</v>
      </c>
      <c r="O53" s="39">
        <f t="shared" si="19"/>
        <v>0.030999745046381946</v>
      </c>
      <c r="P53" s="39">
        <f t="shared" si="19"/>
        <v>0.061890235708334455</v>
      </c>
    </row>
    <row r="54" spans="1:14" ht="11.25">
      <c r="A54" s="12" t="s">
        <v>47</v>
      </c>
      <c r="D54" s="19"/>
      <c r="E54" s="19"/>
      <c r="F54" s="30"/>
      <c r="K54" s="32"/>
      <c r="L54" s="5"/>
      <c r="M54" s="5"/>
      <c r="N54" s="5"/>
    </row>
    <row r="55" spans="1:16" ht="11.25">
      <c r="A55" s="3" t="s">
        <v>48</v>
      </c>
      <c r="B55" s="5"/>
      <c r="C55" s="49">
        <f>C40/C28</f>
        <v>0.005961139574875459</v>
      </c>
      <c r="D55" s="35">
        <f>(D40/0.75)/D28</f>
        <v>0.002908111989321917</v>
      </c>
      <c r="E55" s="35">
        <f>((E40)/0.5)/E28</f>
        <v>-0.0014885445264392189</v>
      </c>
      <c r="F55" s="36">
        <f>((F40)/0.25)/F28</f>
        <v>0.0043962671938613095</v>
      </c>
      <c r="G55" s="49">
        <f>G40/G28</f>
        <v>-0.0003102751668572161</v>
      </c>
      <c r="H55" s="49">
        <f>(H40/0.75)/H28</f>
        <v>-0.000912291705272761</v>
      </c>
      <c r="I55" s="37">
        <f>(I40/0.5)/I28</f>
        <v>4.338034075257661E-05</v>
      </c>
      <c r="J55" s="37">
        <f>((J40)/0.25)/J28</f>
        <v>0.0017000285660537739</v>
      </c>
      <c r="K55" s="57">
        <f>K40/K28</f>
        <v>-0.0050517658187933575</v>
      </c>
      <c r="L55" s="49">
        <f>(L40/0.75)/L28</f>
        <v>-0.003665794796354525</v>
      </c>
      <c r="M55" s="49">
        <f>(M40/0.5)/M28</f>
        <v>-0.00247361073694007</v>
      </c>
      <c r="N55" s="35">
        <f>((N40)/0.25)/N28</f>
        <v>-0.0031883695891405084</v>
      </c>
      <c r="O55" s="37">
        <f>O40/O28</f>
        <v>0.004605131258391606</v>
      </c>
      <c r="P55" s="37">
        <f>P40/P28</f>
        <v>0.004983684366656778</v>
      </c>
    </row>
    <row r="56" spans="1:16" ht="11.25">
      <c r="A56" s="3" t="s">
        <v>49</v>
      </c>
      <c r="B56" s="5"/>
      <c r="C56" s="49">
        <f>C40/C27</f>
        <v>0.005475637484300798</v>
      </c>
      <c r="D56" s="35">
        <f>(D40/0.75)/D27</f>
        <v>0.002755243920123517</v>
      </c>
      <c r="E56" s="35">
        <f>((E40)/0.5)/E27</f>
        <v>-0.0013428855570124596</v>
      </c>
      <c r="F56" s="36">
        <f>((F40)/0.25)/F27</f>
        <v>0.00405933058173425</v>
      </c>
      <c r="G56" s="49">
        <f>G40/G27</f>
        <v>-0.00028924359655548606</v>
      </c>
      <c r="H56" s="49">
        <f>(H40/0.75)/H27</f>
        <v>-0.0008301607787945806</v>
      </c>
      <c r="I56" s="37">
        <f>(I40/0.5)/I27</f>
        <v>3.7353039136646756E-05</v>
      </c>
      <c r="J56" s="37">
        <f>((J40)/0.25)/J27</f>
        <v>0.0014926514444767308</v>
      </c>
      <c r="K56" s="57">
        <f>K40/K27</f>
        <v>-0.004571747905854097</v>
      </c>
      <c r="L56" s="49">
        <f>(L40/0.75)/L27</f>
        <v>-0.003325574286990666</v>
      </c>
      <c r="M56" s="49">
        <f>(M40/0.5)/M27</f>
        <v>-0.0021915133104598652</v>
      </c>
      <c r="N56" s="35">
        <f>((N40)/0.25)/N27</f>
        <v>-0.0028716849718724885</v>
      </c>
      <c r="O56" s="37">
        <f>O40/O27</f>
        <v>0.004129867441062215</v>
      </c>
      <c r="P56" s="37">
        <f>P40/P27</f>
        <v>0.004408031538416126</v>
      </c>
    </row>
    <row r="57" spans="1:16" ht="11.25">
      <c r="A57" s="3" t="s">
        <v>50</v>
      </c>
      <c r="B57" s="5"/>
      <c r="C57" s="49">
        <f>+C40/C31</f>
        <v>0.06512844103333898</v>
      </c>
      <c r="D57" s="35">
        <f>(D40/0.75)/D31</f>
        <v>0.04304514409461936</v>
      </c>
      <c r="E57" s="35">
        <f>((E40)/0.5)/E31</f>
        <v>-0.021544715447154472</v>
      </c>
      <c r="F57" s="36">
        <f>((F40)/0.25)/F31</f>
        <v>0.07032213110360723</v>
      </c>
      <c r="G57" s="49">
        <f>+G40/G31</f>
        <v>-0.004971897968006917</v>
      </c>
      <c r="H57" s="49">
        <f>(H40/0.75)/H31</f>
        <v>-0.013546407027198646</v>
      </c>
      <c r="I57" s="37">
        <f>(I40/0.5)/I31</f>
        <v>0.0006237978894838073</v>
      </c>
      <c r="J57" s="37">
        <f>((J40)/0.25)/J31</f>
        <v>0.027088537330002774</v>
      </c>
      <c r="K57" s="57">
        <f>+K40/K31</f>
        <v>-0.08469162995594713</v>
      </c>
      <c r="L57" s="49">
        <f>(L40/0.75)/L31</f>
        <v>-0.06482958399794658</v>
      </c>
      <c r="M57" s="49">
        <f>(M40/0.5)/M31</f>
        <v>-0.04377505688590313</v>
      </c>
      <c r="N57" s="35">
        <f>((N40)/0.25)/N31</f>
        <v>-0.058537650849123574</v>
      </c>
      <c r="O57" s="37">
        <f>O40/O31</f>
        <v>0.0809396689802456</v>
      </c>
      <c r="P57" s="37">
        <f>P40/P31</f>
        <v>0.09186602870813397</v>
      </c>
    </row>
    <row r="58" spans="1:16" ht="11.25">
      <c r="A58" s="3" t="s">
        <v>51</v>
      </c>
      <c r="B58" s="5"/>
      <c r="C58" s="49">
        <f>C33/C28</f>
        <v>0.11098356586948428</v>
      </c>
      <c r="D58" s="35">
        <f>(D33/0.75)/D28</f>
        <v>0.08871092083835556</v>
      </c>
      <c r="E58" s="35">
        <f>((E33)/0.5)/E28</f>
        <v>0.09046418716340988</v>
      </c>
      <c r="F58" s="36">
        <f>((F33)/0.25)/F28</f>
        <v>0.08575401678757519</v>
      </c>
      <c r="G58" s="49">
        <f>G33/G28</f>
        <v>0.0873492045826293</v>
      </c>
      <c r="H58" s="49">
        <f>(H33/0.75)/H28</f>
        <v>0.09236953515886705</v>
      </c>
      <c r="I58" s="37">
        <f>(I33/0.5)/I28</f>
        <v>0.09722980374010838</v>
      </c>
      <c r="J58" s="37">
        <f>((J33)/0.25)/J28</f>
        <v>0.09645571913298544</v>
      </c>
      <c r="K58" s="57">
        <f>K33/K28</f>
        <v>0.10889872819003574</v>
      </c>
      <c r="L58" s="49">
        <f>(L33/0.75)/L28</f>
        <v>0.10683884291094793</v>
      </c>
      <c r="M58" s="49">
        <f>(M33/0.5)/M28</f>
        <v>0.10621831451593153</v>
      </c>
      <c r="N58" s="35">
        <f>((N33)/0.25)/N28</f>
        <v>0.1047403203835561</v>
      </c>
      <c r="O58" s="37">
        <f>O33/O28</f>
        <v>0.08075383204029186</v>
      </c>
      <c r="P58" s="37">
        <f>P33/P27</f>
        <v>0.11448418815472715</v>
      </c>
    </row>
    <row r="59" spans="1:16" ht="11.25">
      <c r="A59" s="3" t="s">
        <v>52</v>
      </c>
      <c r="B59" s="5"/>
      <c r="C59" s="49">
        <f>C34/C28</f>
        <v>0.0962114631162799</v>
      </c>
      <c r="D59" s="35">
        <f>(D34/0.75)/D28</f>
        <v>0.0759440391019516</v>
      </c>
      <c r="E59" s="35">
        <f>((E34)/0.5)/E28</f>
        <v>0.08005841835122629</v>
      </c>
      <c r="F59" s="36">
        <f>((F34)/0.25)/F28</f>
        <v>0.07728316048720826</v>
      </c>
      <c r="G59" s="49">
        <f>G34/G28</f>
        <v>0.08089413208953462</v>
      </c>
      <c r="H59" s="49">
        <f>(H34/0.75)/H28</f>
        <v>0.08542281394475884</v>
      </c>
      <c r="I59" s="37">
        <f>(I34/0.5)/I28</f>
        <v>0.0886694164982666</v>
      </c>
      <c r="J59" s="37">
        <f>((J34)/0.25)/J28</f>
        <v>0.08739818988761697</v>
      </c>
      <c r="K59" s="57">
        <f>K34/K28</f>
        <v>0.09551713264662602</v>
      </c>
      <c r="L59" s="49">
        <f>(L34/0.75)/L28</f>
        <v>0.09166145721563396</v>
      </c>
      <c r="M59" s="49">
        <f>(M34/0.5)/M28</f>
        <v>0.0911684749332615</v>
      </c>
      <c r="N59" s="35">
        <f>((N34)/0.25)/N28</f>
        <v>0.09005954399176734</v>
      </c>
      <c r="O59" s="37">
        <f>O34/O28</f>
        <v>0.093475659025875</v>
      </c>
      <c r="P59" s="37">
        <f>P34/P27</f>
        <v>0.0914076182854594</v>
      </c>
    </row>
    <row r="60" spans="1:16" ht="11.25">
      <c r="A60" s="3" t="s">
        <v>53</v>
      </c>
      <c r="B60" s="5"/>
      <c r="C60" s="49">
        <f>C35/C28</f>
        <v>0.01477210275320439</v>
      </c>
      <c r="D60" s="35">
        <f>(D35/0.75)/D28</f>
        <v>0.012766881736403958</v>
      </c>
      <c r="E60" s="35">
        <f>((E35)/0.5)/E28</f>
        <v>0.010405768812183596</v>
      </c>
      <c r="F60" s="36">
        <f>((F35)/0.25)/F28</f>
        <v>0.008470856300366914</v>
      </c>
      <c r="G60" s="49">
        <f>G35/G28</f>
        <v>0.006455072493094691</v>
      </c>
      <c r="H60" s="49">
        <f>(H35/0.75)/H28</f>
        <v>0.006946721214108211</v>
      </c>
      <c r="I60" s="37">
        <f>(I35/0.5)/I28</f>
        <v>0.008560387241841785</v>
      </c>
      <c r="J60" s="37">
        <f>((J35)/0.25)/J28</f>
        <v>0.009057529245368467</v>
      </c>
      <c r="K60" s="57">
        <f>K35/K28</f>
        <v>0.013381595543409713</v>
      </c>
      <c r="L60" s="49">
        <f>(L35/0.75)/L28</f>
        <v>0.015177385695313982</v>
      </c>
      <c r="M60" s="49">
        <f>(M35/0.5)/M28</f>
        <v>0.015049839582670031</v>
      </c>
      <c r="N60" s="35">
        <f>((N35)/0.25)/N28</f>
        <v>0.014680776391788759</v>
      </c>
      <c r="O60" s="37">
        <f>O35/O28</f>
        <v>-0.012721826985583145</v>
      </c>
      <c r="P60" s="37">
        <f>P35/P27</f>
        <v>0.023076569869267757</v>
      </c>
    </row>
    <row r="61" spans="1:16" ht="11.25">
      <c r="A61" s="3" t="s">
        <v>54</v>
      </c>
      <c r="B61" s="5"/>
      <c r="C61" s="49">
        <f>C38/C37</f>
        <v>0.5553311793214862</v>
      </c>
      <c r="D61" s="35">
        <f>(D38/0.75)/(D37/0.75)</f>
        <v>0.5396739130434782</v>
      </c>
      <c r="E61" s="35">
        <f>(E38/0.5)/(E37/0.5)</f>
        <v>0.6246390760346487</v>
      </c>
      <c r="F61" s="36">
        <f>(F38/0.25)/(F37/0.25)</f>
        <v>0.6272912423625254</v>
      </c>
      <c r="G61" s="49">
        <f>G38/G37</f>
        <v>0.8745830553702468</v>
      </c>
      <c r="H61" s="49">
        <f>(H38/0.75)/(H37/0.75)</f>
        <v>0.8773274917853232</v>
      </c>
      <c r="I61" s="37">
        <f>(I38/0.5)/(I37/0.5)</f>
        <v>0.748898678414097</v>
      </c>
      <c r="J61" s="37">
        <f>(J38/0.25)/(J37/0.25)</f>
        <v>0.7471264367816092</v>
      </c>
      <c r="K61" s="57">
        <f>K38/K37</f>
        <v>1.154072620215898</v>
      </c>
      <c r="L61" s="49">
        <f>(L38/0.75)/(L37/0.75)</f>
        <v>1.064676616915423</v>
      </c>
      <c r="M61" s="49">
        <f>(M38/0.5)/(M37/0.5)</f>
        <v>0.9760233918128655</v>
      </c>
      <c r="N61" s="35">
        <f>(N38/0.25)/(N37/0.25)</f>
        <v>1.1491108071135432</v>
      </c>
      <c r="O61" s="37">
        <f>O38/O37</f>
        <v>0.7404317958783121</v>
      </c>
      <c r="P61" s="37">
        <f>P38/P37</f>
        <v>0.8474206015795664</v>
      </c>
    </row>
    <row r="62" spans="1:16" ht="11.25">
      <c r="A62" s="4" t="s">
        <v>55</v>
      </c>
      <c r="B62" s="4"/>
      <c r="C62" s="52">
        <f>C36/C28</f>
        <v>0.007175527860017373</v>
      </c>
      <c r="D62" s="39">
        <f>(D36/0.75)/D28</f>
        <v>0.00379945281577043</v>
      </c>
      <c r="E62" s="39">
        <f>(E36/0.5)/E28</f>
        <v>0.004184776121498936</v>
      </c>
      <c r="F62" s="40">
        <f>(F36/0.25)/F28</f>
        <v>0.0046911387739373735</v>
      </c>
      <c r="G62" s="52">
        <f>G36/G28</f>
        <v>0.0036558508790567636</v>
      </c>
      <c r="H62" s="52">
        <f>(H36/0.75)/H28</f>
        <v>0.0017295530245796092</v>
      </c>
      <c r="I62" s="39">
        <f>(I36/0.5)/I28</f>
        <v>0.0012869501089931062</v>
      </c>
      <c r="J62" s="39">
        <f>(J36/0.25)/J28</f>
        <v>0.0006409943773645377</v>
      </c>
      <c r="K62" s="58">
        <f>K36/K28</f>
        <v>0.006700651671221358</v>
      </c>
      <c r="L62" s="52">
        <f>(L36/0.75)/L28</f>
        <v>0.004826906270312971</v>
      </c>
      <c r="M62" s="52">
        <f>(M36/0.5)/M28</f>
        <v>0.005890132497367196</v>
      </c>
      <c r="N62" s="39">
        <f>(N36/0.25)/N28</f>
        <v>0.0027124935310598353</v>
      </c>
      <c r="O62" s="39">
        <f>O36/O28</f>
        <v>0.037485039398781284</v>
      </c>
      <c r="P62" s="39">
        <f>P36/P27</f>
        <v>0.015959435614533383</v>
      </c>
    </row>
    <row r="63" spans="1:14" ht="11.25">
      <c r="A63" s="12" t="s">
        <v>56</v>
      </c>
      <c r="E63" s="19"/>
      <c r="F63" s="30"/>
      <c r="H63" s="6"/>
      <c r="K63" s="32"/>
      <c r="L63" s="5"/>
      <c r="M63" s="5"/>
      <c r="N63" s="5"/>
    </row>
    <row r="64" spans="1:16" ht="11.25">
      <c r="A64" s="3" t="s">
        <v>57</v>
      </c>
      <c r="C64" s="3">
        <v>7</v>
      </c>
      <c r="D64" s="18">
        <v>7</v>
      </c>
      <c r="E64" s="19">
        <v>7</v>
      </c>
      <c r="F64" s="30">
        <v>9</v>
      </c>
      <c r="G64" s="3">
        <v>8</v>
      </c>
      <c r="H64" s="19">
        <v>9</v>
      </c>
      <c r="I64" s="18">
        <v>9</v>
      </c>
      <c r="J64" s="18">
        <v>7</v>
      </c>
      <c r="K64" s="21">
        <v>7</v>
      </c>
      <c r="L64" s="19">
        <v>7</v>
      </c>
      <c r="M64" s="19">
        <v>7</v>
      </c>
      <c r="N64" s="19">
        <v>8</v>
      </c>
      <c r="O64" s="18">
        <v>8</v>
      </c>
      <c r="P64" s="18">
        <v>4</v>
      </c>
    </row>
    <row r="65" spans="1:16" ht="11.25">
      <c r="A65" s="3" t="s">
        <v>58</v>
      </c>
      <c r="C65" s="3">
        <v>1</v>
      </c>
      <c r="D65" s="18">
        <v>1</v>
      </c>
      <c r="E65" s="19">
        <v>1</v>
      </c>
      <c r="F65" s="30">
        <v>1</v>
      </c>
      <c r="G65" s="3">
        <v>1</v>
      </c>
      <c r="H65" s="19">
        <v>1</v>
      </c>
      <c r="I65" s="18">
        <v>1</v>
      </c>
      <c r="J65" s="18">
        <v>1</v>
      </c>
      <c r="K65" s="21">
        <v>1</v>
      </c>
      <c r="L65" s="19">
        <v>1</v>
      </c>
      <c r="M65" s="19">
        <v>1</v>
      </c>
      <c r="N65" s="19">
        <v>1</v>
      </c>
      <c r="O65" s="18">
        <v>1</v>
      </c>
      <c r="P65" s="18">
        <v>1</v>
      </c>
    </row>
    <row r="66" spans="1:16" ht="11.25">
      <c r="A66" s="3" t="s">
        <v>59</v>
      </c>
      <c r="C66" s="19">
        <f aca="true" t="shared" si="20" ref="C66:P66">C12/C64</f>
        <v>41975</v>
      </c>
      <c r="D66" s="19">
        <f t="shared" si="20"/>
        <v>23605.85714285714</v>
      </c>
      <c r="E66" s="19">
        <f t="shared" si="20"/>
        <v>22839</v>
      </c>
      <c r="F66" s="20">
        <f t="shared" si="20"/>
        <v>18711</v>
      </c>
      <c r="G66" s="19">
        <f t="shared" si="20"/>
        <v>19472.75</v>
      </c>
      <c r="H66" s="19">
        <f t="shared" si="20"/>
        <v>14384.444444444445</v>
      </c>
      <c r="I66" s="18">
        <f t="shared" si="20"/>
        <v>13776.222222222223</v>
      </c>
      <c r="J66" s="18">
        <f t="shared" si="20"/>
        <v>18355</v>
      </c>
      <c r="K66" s="21">
        <f t="shared" si="20"/>
        <v>19892.285714285714</v>
      </c>
      <c r="L66" s="19">
        <f t="shared" si="20"/>
        <v>21340.285714285714</v>
      </c>
      <c r="M66" s="19">
        <f t="shared" si="20"/>
        <v>21623.714285714286</v>
      </c>
      <c r="N66" s="19">
        <f t="shared" si="20"/>
        <v>19722.625</v>
      </c>
      <c r="O66" s="18">
        <f t="shared" si="20"/>
        <v>20613.75</v>
      </c>
      <c r="P66" s="18">
        <f t="shared" si="20"/>
        <v>40423.25</v>
      </c>
    </row>
    <row r="67" spans="1:16" ht="11.25">
      <c r="A67" s="3" t="s">
        <v>60</v>
      </c>
      <c r="C67" s="19">
        <f aca="true" t="shared" si="21" ref="C67:P67">+C16/C64</f>
        <v>38202</v>
      </c>
      <c r="D67" s="19">
        <f t="shared" si="21"/>
        <v>18523.285714285714</v>
      </c>
      <c r="E67" s="19">
        <f t="shared" si="21"/>
        <v>17829.14285714286</v>
      </c>
      <c r="F67" s="20">
        <f t="shared" si="21"/>
        <v>14360.333333333334</v>
      </c>
      <c r="G67" s="19">
        <f t="shared" si="21"/>
        <v>15516.875</v>
      </c>
      <c r="H67" s="19">
        <f t="shared" si="21"/>
        <v>12455.222222222223</v>
      </c>
      <c r="I67" s="18">
        <f t="shared" si="21"/>
        <v>13270.666666666666</v>
      </c>
      <c r="J67" s="18">
        <f t="shared" si="21"/>
        <v>16724.85714285714</v>
      </c>
      <c r="K67" s="21">
        <f t="shared" si="21"/>
        <v>17565.85714285714</v>
      </c>
      <c r="L67" s="19">
        <f t="shared" si="21"/>
        <v>19451.714285714286</v>
      </c>
      <c r="M67" s="19">
        <f t="shared" si="21"/>
        <v>20296.14285714286</v>
      </c>
      <c r="N67" s="19">
        <f t="shared" si="21"/>
        <v>18670.125</v>
      </c>
      <c r="O67" s="18">
        <f t="shared" si="21"/>
        <v>19121.125</v>
      </c>
      <c r="P67" s="18">
        <f t="shared" si="21"/>
        <v>37207</v>
      </c>
    </row>
    <row r="68" spans="1:16" ht="11.25">
      <c r="A68" s="4" t="s">
        <v>61</v>
      </c>
      <c r="B68" s="4"/>
      <c r="C68" s="27">
        <f>+C40/C64</f>
        <v>192.14285714285714</v>
      </c>
      <c r="D68" s="27">
        <f>+D40/D64</f>
        <v>46.142857142857146</v>
      </c>
      <c r="E68" s="27">
        <f>+E40/E64</f>
        <v>-15.142857142857142</v>
      </c>
      <c r="F68" s="28">
        <f>F14/F66</f>
        <v>9</v>
      </c>
      <c r="G68" s="27">
        <f>G14/G66</f>
        <v>8</v>
      </c>
      <c r="H68" s="27">
        <f>H14/H66</f>
        <v>9</v>
      </c>
      <c r="I68" s="27">
        <f aca="true" t="shared" si="22" ref="I68:P68">+I40/I64</f>
        <v>0.3333333333333333</v>
      </c>
      <c r="J68" s="27">
        <f t="shared" si="22"/>
        <v>8.714285714285714</v>
      </c>
      <c r="K68" s="29">
        <f t="shared" si="22"/>
        <v>-109.85714285714286</v>
      </c>
      <c r="L68" s="27">
        <f t="shared" si="22"/>
        <v>-63.142857142857146</v>
      </c>
      <c r="M68" s="27">
        <f t="shared" si="22"/>
        <v>-28.857142857142858</v>
      </c>
      <c r="N68" s="27">
        <f t="shared" si="22"/>
        <v>-16.75</v>
      </c>
      <c r="O68" s="27">
        <f t="shared" si="22"/>
        <v>94.75</v>
      </c>
      <c r="P68" s="27">
        <f t="shared" si="22"/>
        <v>168</v>
      </c>
    </row>
    <row r="69" spans="1:14" ht="11.25">
      <c r="A69" s="12" t="s">
        <v>62</v>
      </c>
      <c r="E69" s="19"/>
      <c r="F69" s="30"/>
      <c r="K69" s="32"/>
      <c r="L69" s="5"/>
      <c r="M69" s="5"/>
      <c r="N69" s="5"/>
    </row>
    <row r="70" spans="1:16" ht="11.25">
      <c r="A70" s="3" t="s">
        <v>63</v>
      </c>
      <c r="C70" s="37">
        <f aca="true" t="shared" si="23" ref="C70:I70">(C10/G10)-1</f>
        <v>0.9596893713927681</v>
      </c>
      <c r="D70" s="35">
        <f t="shared" si="23"/>
        <v>0.21590892981187704</v>
      </c>
      <c r="E70" s="35">
        <f t="shared" si="23"/>
        <v>0.12496550795840755</v>
      </c>
      <c r="F70" s="36">
        <f t="shared" si="23"/>
        <v>0.2230124285547248</v>
      </c>
      <c r="G70" s="37">
        <f t="shared" si="23"/>
        <v>0.0914028339415458</v>
      </c>
      <c r="H70" s="37">
        <f t="shared" si="23"/>
        <v>-0.15671623947972457</v>
      </c>
      <c r="I70" s="37">
        <f t="shared" si="23"/>
        <v>-0.13950565806085458</v>
      </c>
      <c r="J70" s="37">
        <f>+(J10/N10)-1</f>
        <v>-0.19914180584321162</v>
      </c>
      <c r="K70" s="38">
        <f>+(K10/O10)-1</f>
        <v>-0.17492635450742966</v>
      </c>
      <c r="L70" s="35">
        <f>+(L10/187129)-1</f>
        <v>-0.1059857103922962</v>
      </c>
      <c r="M70" s="35">
        <f>+(M10/196021)-1</f>
        <v>-0.1191045857331613</v>
      </c>
      <c r="N70" s="35">
        <f>+(N10/191756)-1</f>
        <v>-0.0532551784559544</v>
      </c>
      <c r="O70" s="37">
        <f>+(O10/P10)-1</f>
        <v>0.008623661444682185</v>
      </c>
      <c r="P70" s="37">
        <f>+(P10/122145)-1</f>
        <v>0.4961971427401859</v>
      </c>
    </row>
    <row r="71" spans="1:16" ht="11.25">
      <c r="A71" s="3" t="s">
        <v>64</v>
      </c>
      <c r="C71" s="37">
        <f aca="true" t="shared" si="24" ref="C71:I71">(C12/G12)-1</f>
        <v>0.8861293345829429</v>
      </c>
      <c r="D71" s="49">
        <f t="shared" si="24"/>
        <v>0.27638652865750046</v>
      </c>
      <c r="E71" s="49">
        <f t="shared" si="24"/>
        <v>0.28944396948042517</v>
      </c>
      <c r="F71" s="48">
        <f t="shared" si="24"/>
        <v>0.3106510487605556</v>
      </c>
      <c r="G71" s="37">
        <f t="shared" si="24"/>
        <v>0.11875386007497513</v>
      </c>
      <c r="H71" s="37">
        <f t="shared" si="24"/>
        <v>-0.1333627880199756</v>
      </c>
      <c r="I71" s="37">
        <f t="shared" si="24"/>
        <v>-0.18088606424163944</v>
      </c>
      <c r="J71" s="37">
        <f aca="true" t="shared" si="25" ref="J71:P71">SUM(J72:J73)</f>
        <v>-0.18567508128355126</v>
      </c>
      <c r="K71" s="38">
        <f t="shared" si="25"/>
        <v>-0.15562427991025407</v>
      </c>
      <c r="L71" s="35">
        <f t="shared" si="25"/>
        <v>-0.12400823320373666</v>
      </c>
      <c r="M71" s="35">
        <f t="shared" si="25"/>
        <v>-0.11607481765678018</v>
      </c>
      <c r="N71" s="35">
        <f t="shared" si="25"/>
        <v>-0.08186790805935407</v>
      </c>
      <c r="O71" s="37">
        <f t="shared" si="25"/>
        <v>0.019895728324664574</v>
      </c>
      <c r="P71" s="37">
        <f t="shared" si="25"/>
        <v>-0.999989333560884</v>
      </c>
    </row>
    <row r="72" spans="2:16" ht="11.25">
      <c r="B72" s="3" t="s">
        <v>15</v>
      </c>
      <c r="C72" s="37">
        <v>0</v>
      </c>
      <c r="D72" s="35">
        <v>0</v>
      </c>
      <c r="E72" s="49">
        <v>0</v>
      </c>
      <c r="F72" s="48">
        <v>0</v>
      </c>
      <c r="G72" s="37">
        <v>0</v>
      </c>
      <c r="H72" s="37">
        <v>0</v>
      </c>
      <c r="I72" s="37">
        <v>0</v>
      </c>
      <c r="J72" s="37">
        <v>0</v>
      </c>
      <c r="K72" s="38">
        <v>0</v>
      </c>
      <c r="L72" s="35">
        <v>0</v>
      </c>
      <c r="M72" s="35">
        <v>0</v>
      </c>
      <c r="N72" s="35">
        <v>0</v>
      </c>
      <c r="O72" s="37">
        <v>0</v>
      </c>
      <c r="P72" s="37">
        <v>0</v>
      </c>
    </row>
    <row r="73" spans="2:16" ht="11.25">
      <c r="B73" s="3" t="s">
        <v>16</v>
      </c>
      <c r="C73" s="37">
        <f aca="true" t="shared" si="26" ref="C73:I73">(C14/G14)-1</f>
        <v>0.8861293345829429</v>
      </c>
      <c r="D73" s="35">
        <f t="shared" si="26"/>
        <v>0.27638652865750046</v>
      </c>
      <c r="E73" s="35">
        <f t="shared" si="26"/>
        <v>0.28944396948042517</v>
      </c>
      <c r="F73" s="36">
        <f t="shared" si="26"/>
        <v>0.3106510487605556</v>
      </c>
      <c r="G73" s="37">
        <f t="shared" si="26"/>
        <v>0.11875386007497513</v>
      </c>
      <c r="H73" s="37">
        <f t="shared" si="26"/>
        <v>-0.1333627880199756</v>
      </c>
      <c r="I73" s="37">
        <f t="shared" si="26"/>
        <v>-0.18088606424163944</v>
      </c>
      <c r="J73" s="37">
        <f>+(J14/N14)-1</f>
        <v>-0.18567508128355126</v>
      </c>
      <c r="K73" s="38">
        <f>+(K14/O14)-1</f>
        <v>-0.15562427991025407</v>
      </c>
      <c r="L73" s="35">
        <f>+(L14/170529)-1</f>
        <v>-0.12400823320373666</v>
      </c>
      <c r="M73" s="35">
        <f>+(M14/171243)-1</f>
        <v>-0.11607481765678018</v>
      </c>
      <c r="N73" s="35">
        <f>+(N14/171850)-1</f>
        <v>-0.08186790805935407</v>
      </c>
      <c r="O73" s="37">
        <f>+(O14/P14)-1</f>
        <v>0.019895728324664574</v>
      </c>
      <c r="P73" s="37">
        <f>+(P14/161693/93752)-1</f>
        <v>-0.999989333560884</v>
      </c>
    </row>
    <row r="74" spans="1:16" ht="11.25">
      <c r="A74" s="3" t="s">
        <v>65</v>
      </c>
      <c r="C74" s="37">
        <f aca="true" t="shared" si="27" ref="C74:I74">(C16/G16)-1</f>
        <v>1.1542191968421478</v>
      </c>
      <c r="D74" s="35">
        <f t="shared" si="27"/>
        <v>0.15670356923022033</v>
      </c>
      <c r="E74" s="35">
        <f t="shared" si="27"/>
        <v>0.044944572825613704</v>
      </c>
      <c r="F74" s="36">
        <f t="shared" si="27"/>
        <v>0.10394280540512835</v>
      </c>
      <c r="G74" s="37">
        <f t="shared" si="27"/>
        <v>0.009547742780231072</v>
      </c>
      <c r="H74" s="37">
        <f t="shared" si="27"/>
        <v>-0.17673800326082167</v>
      </c>
      <c r="I74" s="37">
        <f t="shared" si="27"/>
        <v>-0.1593335820317724</v>
      </c>
      <c r="J74" s="37">
        <f aca="true" t="shared" si="28" ref="J74:P74">SUM(J75:J76)</f>
        <v>-0.21616754038872266</v>
      </c>
      <c r="K74" s="38">
        <f t="shared" si="28"/>
        <v>-0.19617046591139387</v>
      </c>
      <c r="L74" s="35">
        <f t="shared" si="28"/>
        <v>-0.12249790552297479</v>
      </c>
      <c r="M74" s="35">
        <f t="shared" si="28"/>
        <v>-0.13221964329342784</v>
      </c>
      <c r="N74" s="35">
        <f t="shared" si="28"/>
        <v>-0.05537671471125816</v>
      </c>
      <c r="O74" s="37">
        <f t="shared" si="28"/>
        <v>0.02782406536404447</v>
      </c>
      <c r="P74" s="37">
        <f t="shared" si="28"/>
        <v>0.39404271262645185</v>
      </c>
    </row>
    <row r="75" spans="2:16" ht="11.25">
      <c r="B75" s="3" t="s">
        <v>15</v>
      </c>
      <c r="C75" s="37">
        <v>0</v>
      </c>
      <c r="D75" s="35">
        <v>0</v>
      </c>
      <c r="E75" s="35">
        <v>0</v>
      </c>
      <c r="F75" s="36">
        <v>0</v>
      </c>
      <c r="G75" s="37">
        <v>0</v>
      </c>
      <c r="H75" s="37">
        <v>0</v>
      </c>
      <c r="I75" s="37">
        <v>0</v>
      </c>
      <c r="J75" s="37">
        <v>0</v>
      </c>
      <c r="K75" s="38">
        <v>0</v>
      </c>
      <c r="L75" s="35">
        <v>0</v>
      </c>
      <c r="M75" s="35">
        <v>0</v>
      </c>
      <c r="N75" s="35">
        <v>0</v>
      </c>
      <c r="O75" s="37">
        <v>0</v>
      </c>
      <c r="P75" s="37">
        <v>0</v>
      </c>
    </row>
    <row r="76" spans="2:16" ht="11.25">
      <c r="B76" s="3" t="s">
        <v>16</v>
      </c>
      <c r="C76" s="37">
        <f aca="true" t="shared" si="29" ref="C76:I76">(C21/G21)-1</f>
        <v>1.1542191968421478</v>
      </c>
      <c r="D76" s="35">
        <f t="shared" si="29"/>
        <v>0.15670356923022033</v>
      </c>
      <c r="E76" s="35">
        <f t="shared" si="29"/>
        <v>0.044944572825613704</v>
      </c>
      <c r="F76" s="36">
        <f t="shared" si="29"/>
        <v>0.09753660078241122</v>
      </c>
      <c r="G76" s="37">
        <f t="shared" si="29"/>
        <v>0.009547742780231072</v>
      </c>
      <c r="H76" s="37">
        <f t="shared" si="29"/>
        <v>-0.17673800326082167</v>
      </c>
      <c r="I76" s="37">
        <f t="shared" si="29"/>
        <v>-0.1593335820317724</v>
      </c>
      <c r="J76" s="37">
        <f>+(J21/N21)-1</f>
        <v>-0.21616754038872266</v>
      </c>
      <c r="K76" s="38">
        <f>+(K21/O21)-1</f>
        <v>-0.19617046591139387</v>
      </c>
      <c r="L76" s="35">
        <f>+(L21/155170)-1</f>
        <v>-0.12249790552297479</v>
      </c>
      <c r="M76" s="35">
        <f>+(M21/163720)-1</f>
        <v>-0.13221964329342784</v>
      </c>
      <c r="N76" s="35">
        <f>+(N21/158117)-1</f>
        <v>-0.05537671471125816</v>
      </c>
      <c r="O76" s="37">
        <f>+(O21/P21)-1</f>
        <v>0.02782406536404447</v>
      </c>
      <c r="P76" s="37">
        <f>+(P21/106760)-1</f>
        <v>0.39404271262645185</v>
      </c>
    </row>
    <row r="77" spans="1:16" ht="11.25">
      <c r="A77" s="3" t="s">
        <v>66</v>
      </c>
      <c r="C77" s="37">
        <f aca="true" t="shared" si="30" ref="C77:I77">(C25/G25)-1</f>
        <v>2.185549250101338</v>
      </c>
      <c r="D77" s="35">
        <f t="shared" si="30"/>
        <v>0.03809329802403738</v>
      </c>
      <c r="E77" s="35">
        <f t="shared" si="30"/>
        <v>-0.015728977616454975</v>
      </c>
      <c r="F77" s="36">
        <f t="shared" si="30"/>
        <v>0.16287966612566662</v>
      </c>
      <c r="G77" s="37">
        <f t="shared" si="30"/>
        <v>0.14265863825845293</v>
      </c>
      <c r="H77" s="37">
        <f t="shared" si="30"/>
        <v>0.08127753303964758</v>
      </c>
      <c r="I77" s="37">
        <f t="shared" si="30"/>
        <v>0.0642772829702758</v>
      </c>
      <c r="J77" s="35">
        <f>+(J25/N25)-1</f>
        <v>-0.08126531046969854</v>
      </c>
      <c r="K77" s="38">
        <f>+(K25/O25)-1</f>
        <v>-0.0932381352372953</v>
      </c>
      <c r="L77" s="35">
        <f>+(L25/9101)-1</f>
        <v>-0.002307438742995327</v>
      </c>
      <c r="M77" s="35">
        <f>+(M25/9139)-1</f>
        <v>0.019695809169493428</v>
      </c>
      <c r="N77" s="35">
        <f>+(M25/8924)-1</f>
        <v>0.04426266248319144</v>
      </c>
      <c r="O77" s="35">
        <f>+(O25/P25)-1</f>
        <v>0.03454268955029338</v>
      </c>
      <c r="P77" s="35">
        <f>+(P25/5424)-1</f>
        <v>0.6972713864306785</v>
      </c>
    </row>
    <row r="78" spans="1:16" ht="11.25">
      <c r="A78" s="4" t="s">
        <v>67</v>
      </c>
      <c r="B78" s="4"/>
      <c r="C78" s="39">
        <f aca="true" t="shared" si="31" ref="C78:I78">(C40/G40)-1</f>
        <v>-30.23913043478261</v>
      </c>
      <c r="D78" s="39">
        <f t="shared" si="31"/>
        <v>-4.364583333333334</v>
      </c>
      <c r="E78" s="59">
        <f t="shared" si="31"/>
        <v>-36.333333333333336</v>
      </c>
      <c r="F78" s="40">
        <f t="shared" si="31"/>
        <v>1.6885245901639343</v>
      </c>
      <c r="G78" s="39">
        <f t="shared" si="31"/>
        <v>-0.9401820546163849</v>
      </c>
      <c r="H78" s="39">
        <f t="shared" si="31"/>
        <v>-0.7828054298642534</v>
      </c>
      <c r="I78" s="39">
        <f t="shared" si="31"/>
        <v>-1.0148514851485149</v>
      </c>
      <c r="J78" s="39">
        <f>+(J40/N40)-1</f>
        <v>-1.455223880597015</v>
      </c>
      <c r="K78" s="41">
        <f>+(K40/O40)-1</f>
        <v>-2.0145118733509237</v>
      </c>
      <c r="L78" s="39">
        <f>+(L40/335)-1</f>
        <v>-2.319402985074627</v>
      </c>
      <c r="M78" s="39">
        <f>+(M40/373)-1</f>
        <v>-1.5415549597855227</v>
      </c>
      <c r="N78" s="39">
        <f>+(N40/220)-1</f>
        <v>-1.6090909090909091</v>
      </c>
      <c r="O78" s="39">
        <f>+(O40/P40)-1</f>
        <v>0.12797619047619047</v>
      </c>
      <c r="P78" s="39">
        <f>+(P40/33)-1</f>
        <v>19.363636363636363</v>
      </c>
    </row>
    <row r="80" ht="11.25">
      <c r="A80" s="3" t="s">
        <v>68</v>
      </c>
    </row>
    <row r="81" ht="11.25">
      <c r="A81" s="3" t="s">
        <v>69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2017-06-16T17:23:40Z</dcterms:created>
  <dcterms:modified xsi:type="dcterms:W3CDTF">2017-06-16T17:23:46Z</dcterms:modified>
  <cp:category/>
  <cp:version/>
  <cp:contentType/>
  <cp:contentStatus/>
</cp:coreProperties>
</file>