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Banesc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<sst xmlns="http://schemas.openxmlformats.org/spreadsheetml/2006/main" count="89" uniqueCount="67">
  <si>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CUADRO No. 19-25</t>
  </si>
  <si>
    <t>BANESCO INTERNACIONAL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</si>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</sst>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15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201" fontId="3" fillId="0" borderId="10" xfId="46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201" fontId="3" fillId="0" borderId="0" xfId="46" applyNumberFormat="1" applyFont="1" applyFill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0" xfId="46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1" fontId="3" fillId="0" borderId="11" xfId="46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5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204" fontId="3" fillId="0" borderId="0" xfId="52" applyNumberFormat="1" applyFont="1" applyBorder="1" applyAlignment="1">
      <alignment/>
    </xf>
    <xf numFmtId="204" fontId="3" fillId="0" borderId="15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0" xfId="52" applyNumberFormat="1" applyFont="1" applyBorder="1" applyAlignment="1">
      <alignment/>
    </xf>
    <xf numFmtId="204" fontId="3" fillId="0" borderId="17" xfId="52" applyNumberFormat="1" applyFont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7" sqref="I27"/>
    </sheetView>
  </sheetViews>
  <sheetFormatPr defaultColWidth="11.421875" defaultRowHeight="12.75"/>
  <cols>
    <col min="1" max="1" width="3.421875" style="3" customWidth="1"/>
    <col min="2" max="2" width="28.57421875" style="3" customWidth="1"/>
    <col min="3" max="3" width="8.00390625" style="3" customWidth="1"/>
    <col min="4" max="4" width="8.140625" style="3" customWidth="1"/>
    <col min="5" max="5" width="7.8515625" style="3" customWidth="1"/>
    <col min="6" max="6" width="8.00390625" style="3" customWidth="1"/>
    <col min="7" max="7" width="7.8515625" style="3" customWidth="1"/>
    <col min="8" max="8" width="7.7109375" style="3" bestFit="1" customWidth="1"/>
    <col min="9" max="9" width="7.421875" style="3" customWidth="1"/>
    <col min="10" max="10" width="7.57421875" style="3" customWidth="1"/>
    <col min="11" max="11" width="8.140625" style="3" customWidth="1"/>
    <col min="12" max="12" width="8.28125" style="3" customWidth="1"/>
    <col min="13" max="13" width="7.140625" style="3" customWidth="1"/>
    <col min="14" max="14" width="6.7109375" style="3" customWidth="1"/>
    <col min="15" max="15" width="5.57421875" style="3" hidden="1" customWidth="1"/>
    <col min="16" max="16" width="5.7109375" style="3" hidden="1" customWidth="1"/>
    <col min="17" max="17" width="11.421875" style="3" customWidth="1"/>
    <col min="18" max="16384" width="11.421875" style="1" customWidth="1"/>
  </cols>
  <sheetData>
    <row r="1" spans="2:16" ht="11.25">
      <c r="B1" s="60"/>
      <c r="C1" s="60"/>
      <c r="D1" s="60"/>
      <c r="E1" s="60"/>
      <c r="F1" s="60"/>
      <c r="G1" s="60"/>
      <c r="H1" s="60" t="s">
        <v>0</v>
      </c>
      <c r="I1" s="60"/>
      <c r="J1" s="60"/>
      <c r="K1" s="60"/>
      <c r="L1" s="60"/>
      <c r="M1" s="60"/>
      <c r="N1" s="60"/>
      <c r="O1" s="60"/>
      <c r="P1" s="60"/>
    </row>
    <row r="2" spans="2:16" ht="11.25">
      <c r="B2" s="60"/>
      <c r="C2" s="60"/>
      <c r="D2" s="60"/>
      <c r="E2" s="60"/>
      <c r="F2" s="60"/>
      <c r="G2" s="60"/>
      <c r="H2" s="60" t="s">
        <v>1</v>
      </c>
      <c r="I2" s="60"/>
      <c r="J2" s="60"/>
      <c r="K2" s="60"/>
      <c r="L2" s="60"/>
      <c r="M2" s="60"/>
      <c r="N2" s="60"/>
      <c r="O2" s="60"/>
      <c r="P2" s="60"/>
    </row>
    <row r="3" spans="2:16" ht="11.25">
      <c r="B3" s="60"/>
      <c r="C3" s="60"/>
      <c r="D3" s="60"/>
      <c r="E3" s="60"/>
      <c r="F3" s="60"/>
      <c r="G3" s="60"/>
      <c r="H3" s="60" t="s">
        <v>2</v>
      </c>
      <c r="I3" s="60"/>
      <c r="J3" s="60"/>
      <c r="K3" s="60"/>
      <c r="L3" s="60"/>
      <c r="M3" s="60"/>
      <c r="N3" s="60"/>
      <c r="O3" s="60"/>
      <c r="P3" s="60"/>
    </row>
    <row r="4" spans="1:16" ht="11.25">
      <c r="A4" s="1"/>
      <c r="B4" s="59"/>
      <c r="C4" s="59"/>
      <c r="D4" s="59"/>
      <c r="E4" s="59"/>
      <c r="F4" s="59"/>
      <c r="G4" s="59"/>
      <c r="H4" s="59" t="s">
        <v>3</v>
      </c>
      <c r="I4" s="59"/>
      <c r="J4" s="59"/>
      <c r="K4" s="59"/>
      <c r="L4" s="59"/>
      <c r="M4" s="59"/>
      <c r="N4" s="59"/>
      <c r="O4" s="59"/>
      <c r="P4" s="59"/>
    </row>
    <row r="5" spans="1:16" ht="11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2.75" customHeight="1">
      <c r="A7" s="6"/>
      <c r="B7" s="6"/>
      <c r="C7" s="62">
        <v>2002</v>
      </c>
      <c r="D7" s="62"/>
      <c r="E7" s="62"/>
      <c r="F7" s="63"/>
      <c r="G7" s="62">
        <v>2001</v>
      </c>
      <c r="H7" s="62"/>
      <c r="I7" s="62"/>
      <c r="J7" s="62"/>
      <c r="K7" s="61">
        <v>2000</v>
      </c>
      <c r="L7" s="62"/>
      <c r="M7" s="62"/>
      <c r="N7" s="62"/>
      <c r="O7" s="62" t="s">
        <v>4</v>
      </c>
      <c r="P7" s="62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2"/>
      <c r="K9" s="15"/>
      <c r="L9" s="16"/>
      <c r="M9" s="16"/>
      <c r="N9" s="16"/>
      <c r="O9" s="17"/>
      <c r="P9" s="17"/>
    </row>
    <row r="10" spans="1:16" ht="11.25">
      <c r="A10" s="3" t="s">
        <v>12</v>
      </c>
      <c r="C10" s="18">
        <v>233652</v>
      </c>
      <c r="D10" s="18">
        <v>168817</v>
      </c>
      <c r="E10" s="19">
        <v>138442</v>
      </c>
      <c r="F10" s="20">
        <v>127318</v>
      </c>
      <c r="G10" s="18">
        <v>127122</v>
      </c>
      <c r="H10" s="18">
        <v>117343</v>
      </c>
      <c r="I10" s="18">
        <v>107754</v>
      </c>
      <c r="J10" s="18">
        <v>101795</v>
      </c>
      <c r="K10" s="21">
        <v>98432</v>
      </c>
      <c r="L10" s="19">
        <v>53412</v>
      </c>
      <c r="M10" s="19">
        <v>56679</v>
      </c>
      <c r="N10" s="19">
        <v>56058</v>
      </c>
      <c r="O10" s="18">
        <v>45869</v>
      </c>
      <c r="P10" s="18">
        <v>29478</v>
      </c>
    </row>
    <row r="11" spans="1:16" ht="11.25">
      <c r="A11" s="3" t="s">
        <v>13</v>
      </c>
      <c r="C11" s="18">
        <v>128669</v>
      </c>
      <c r="D11" s="18">
        <v>97444</v>
      </c>
      <c r="E11" s="19">
        <v>85719</v>
      </c>
      <c r="F11" s="20">
        <v>62452</v>
      </c>
      <c r="G11" s="18">
        <v>50708</v>
      </c>
      <c r="H11" s="18">
        <v>25512</v>
      </c>
      <c r="I11" s="18">
        <v>24255</v>
      </c>
      <c r="J11" s="18">
        <v>26450</v>
      </c>
      <c r="K11" s="21">
        <v>28072</v>
      </c>
      <c r="L11" s="19">
        <v>20551</v>
      </c>
      <c r="M11" s="19">
        <v>23808</v>
      </c>
      <c r="N11" s="19">
        <v>10271</v>
      </c>
      <c r="O11" s="18">
        <v>3868</v>
      </c>
      <c r="P11" s="18">
        <v>3807</v>
      </c>
    </row>
    <row r="12" spans="1:16" ht="11.25">
      <c r="A12" s="3" t="s">
        <v>14</v>
      </c>
      <c r="C12" s="19">
        <f aca="true" t="shared" si="0" ref="C12:P12">C13+C14</f>
        <v>70363</v>
      </c>
      <c r="D12" s="19">
        <f t="shared" si="0"/>
        <v>64647</v>
      </c>
      <c r="E12" s="19">
        <f t="shared" si="0"/>
        <v>47534</v>
      </c>
      <c r="F12" s="20">
        <f t="shared" si="0"/>
        <v>58724</v>
      </c>
      <c r="G12" s="18">
        <f t="shared" si="0"/>
        <v>70320</v>
      </c>
      <c r="H12" s="18">
        <f t="shared" si="0"/>
        <v>73516</v>
      </c>
      <c r="I12" s="18">
        <f t="shared" si="0"/>
        <v>76760</v>
      </c>
      <c r="J12" s="18">
        <f t="shared" si="0"/>
        <v>68836</v>
      </c>
      <c r="K12" s="21">
        <f t="shared" si="0"/>
        <v>65349</v>
      </c>
      <c r="L12" s="19">
        <f t="shared" si="0"/>
        <v>28398</v>
      </c>
      <c r="M12" s="19">
        <f t="shared" si="0"/>
        <v>28729</v>
      </c>
      <c r="N12" s="19">
        <f t="shared" si="0"/>
        <v>28678</v>
      </c>
      <c r="O12" s="18">
        <f t="shared" si="0"/>
        <v>28821</v>
      </c>
      <c r="P12" s="18">
        <f t="shared" si="0"/>
        <v>18157</v>
      </c>
    </row>
    <row r="13" spans="2:16" ht="11.25">
      <c r="B13" s="3" t="s">
        <v>15</v>
      </c>
      <c r="C13" s="19">
        <v>0</v>
      </c>
      <c r="D13" s="19">
        <v>0</v>
      </c>
      <c r="E13" s="19">
        <v>0</v>
      </c>
      <c r="F13" s="22">
        <v>0</v>
      </c>
      <c r="G13" s="23">
        <v>0</v>
      </c>
      <c r="H13" s="18">
        <v>0</v>
      </c>
      <c r="I13" s="18">
        <v>0</v>
      </c>
      <c r="J13" s="18">
        <v>0</v>
      </c>
      <c r="K13" s="21"/>
      <c r="L13" s="19"/>
      <c r="M13" s="19">
        <v>0</v>
      </c>
      <c r="N13" s="19">
        <v>0</v>
      </c>
      <c r="O13" s="18">
        <v>0</v>
      </c>
      <c r="P13" s="18">
        <v>0</v>
      </c>
    </row>
    <row r="14" spans="2:16" ht="11.25">
      <c r="B14" s="3" t="s">
        <v>16</v>
      </c>
      <c r="C14" s="18">
        <v>70363</v>
      </c>
      <c r="D14" s="18">
        <v>64647</v>
      </c>
      <c r="E14" s="19">
        <v>47534</v>
      </c>
      <c r="F14" s="20">
        <v>58724</v>
      </c>
      <c r="G14" s="18">
        <v>70320</v>
      </c>
      <c r="H14" s="18">
        <v>73516</v>
      </c>
      <c r="I14" s="18">
        <v>76760</v>
      </c>
      <c r="J14" s="18">
        <v>68836</v>
      </c>
      <c r="K14" s="21">
        <v>65349</v>
      </c>
      <c r="L14" s="19">
        <v>28398</v>
      </c>
      <c r="M14" s="19">
        <v>28729</v>
      </c>
      <c r="N14" s="19">
        <v>28678</v>
      </c>
      <c r="O14" s="18">
        <v>28821</v>
      </c>
      <c r="P14" s="18">
        <v>18157</v>
      </c>
    </row>
    <row r="15" spans="1:16" ht="11.25">
      <c r="A15" s="3" t="s">
        <v>17</v>
      </c>
      <c r="C15" s="18">
        <v>26059</v>
      </c>
      <c r="D15" s="18">
        <v>1913</v>
      </c>
      <c r="E15" s="19">
        <v>1847</v>
      </c>
      <c r="F15" s="20">
        <v>2333</v>
      </c>
      <c r="G15" s="18">
        <v>2909</v>
      </c>
      <c r="H15" s="18">
        <v>11589</v>
      </c>
      <c r="I15" s="18">
        <v>2571</v>
      </c>
      <c r="J15" s="18">
        <v>2570</v>
      </c>
      <c r="K15" s="21">
        <v>2582</v>
      </c>
      <c r="L15" s="19">
        <v>2581</v>
      </c>
      <c r="M15" s="19">
        <v>2579</v>
      </c>
      <c r="N15" s="19">
        <v>15612</v>
      </c>
      <c r="O15" s="18">
        <v>12380</v>
      </c>
      <c r="P15" s="18">
        <v>6898</v>
      </c>
    </row>
    <row r="16" spans="1:16" ht="11.25">
      <c r="A16" s="3" t="s">
        <v>18</v>
      </c>
      <c r="C16" s="19">
        <f aca="true" t="shared" si="1" ref="C16:P16">C17+C21</f>
        <v>213375</v>
      </c>
      <c r="D16" s="19">
        <f t="shared" si="1"/>
        <v>147506</v>
      </c>
      <c r="E16" s="19">
        <f t="shared" si="1"/>
        <v>121708</v>
      </c>
      <c r="F16" s="20">
        <f t="shared" si="1"/>
        <v>110207</v>
      </c>
      <c r="G16" s="18">
        <f t="shared" si="1"/>
        <v>112232</v>
      </c>
      <c r="H16" s="18">
        <f t="shared" si="1"/>
        <v>105686</v>
      </c>
      <c r="I16" s="18">
        <f t="shared" si="1"/>
        <v>97527</v>
      </c>
      <c r="J16" s="18">
        <f t="shared" si="1"/>
        <v>91967</v>
      </c>
      <c r="K16" s="21">
        <f t="shared" si="1"/>
        <v>87068</v>
      </c>
      <c r="L16" s="19">
        <f t="shared" si="1"/>
        <v>45199</v>
      </c>
      <c r="M16" s="19">
        <f t="shared" si="1"/>
        <v>47555</v>
      </c>
      <c r="N16" s="19">
        <f t="shared" si="1"/>
        <v>43959</v>
      </c>
      <c r="O16" s="18">
        <f t="shared" si="1"/>
        <v>34488</v>
      </c>
      <c r="P16" s="18">
        <f t="shared" si="1"/>
        <v>23543</v>
      </c>
    </row>
    <row r="17" spans="2:16" ht="11.25">
      <c r="B17" s="3" t="s">
        <v>15</v>
      </c>
      <c r="C17" s="19">
        <f aca="true" t="shared" si="2" ref="C17:P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3" t="s">
        <v>19</v>
      </c>
      <c r="C18" s="19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3" t="s">
        <v>20</v>
      </c>
      <c r="C19" s="19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3" t="s">
        <v>21</v>
      </c>
      <c r="C20" s="19">
        <v>0</v>
      </c>
      <c r="D20" s="19">
        <v>0</v>
      </c>
      <c r="E20" s="19">
        <v>0</v>
      </c>
      <c r="F20" s="20">
        <v>0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3" t="s">
        <v>16</v>
      </c>
      <c r="C21" s="19">
        <f>SUM(C22:C24)</f>
        <v>213375</v>
      </c>
      <c r="D21" s="19">
        <f>SUM(D22:D24)</f>
        <v>147506</v>
      </c>
      <c r="E21" s="19">
        <f>SUM(E22:E24)</f>
        <v>121708</v>
      </c>
      <c r="F21" s="20">
        <f>SUM(F22:F24)</f>
        <v>110207</v>
      </c>
      <c r="G21" s="18">
        <f aca="true" t="shared" si="3" ref="G21:P21">SUM(G23:G24)</f>
        <v>112232</v>
      </c>
      <c r="H21" s="18">
        <f t="shared" si="3"/>
        <v>105686</v>
      </c>
      <c r="I21" s="18">
        <f t="shared" si="3"/>
        <v>97527</v>
      </c>
      <c r="J21" s="18">
        <f t="shared" si="3"/>
        <v>91967</v>
      </c>
      <c r="K21" s="21">
        <f t="shared" si="3"/>
        <v>87068</v>
      </c>
      <c r="L21" s="19">
        <f t="shared" si="3"/>
        <v>45199</v>
      </c>
      <c r="M21" s="19">
        <f t="shared" si="3"/>
        <v>47555</v>
      </c>
      <c r="N21" s="19">
        <f t="shared" si="3"/>
        <v>43959</v>
      </c>
      <c r="O21" s="18">
        <f t="shared" si="3"/>
        <v>34488</v>
      </c>
      <c r="P21" s="18">
        <f t="shared" si="3"/>
        <v>23543</v>
      </c>
    </row>
    <row r="22" spans="2:16" ht="11.25">
      <c r="B22" s="3" t="s">
        <v>19</v>
      </c>
      <c r="C22" s="19"/>
      <c r="D22" s="19"/>
      <c r="E22" s="19"/>
      <c r="F22" s="20"/>
      <c r="G22" s="18"/>
      <c r="H22" s="18"/>
      <c r="I22" s="18"/>
      <c r="J22" s="18"/>
      <c r="K22" s="21"/>
      <c r="L22" s="19"/>
      <c r="M22" s="19"/>
      <c r="N22" s="19"/>
      <c r="O22" s="18"/>
      <c r="P22" s="18"/>
    </row>
    <row r="23" spans="2:16" ht="11.25">
      <c r="B23" s="3" t="s">
        <v>20</v>
      </c>
      <c r="C23" s="18">
        <v>202283</v>
      </c>
      <c r="D23" s="18">
        <v>113358</v>
      </c>
      <c r="E23" s="19">
        <v>77103</v>
      </c>
      <c r="F23" s="20">
        <v>75368</v>
      </c>
      <c r="G23" s="18">
        <f>74072+2646</f>
        <v>76718</v>
      </c>
      <c r="H23" s="18">
        <f>1889+71088</f>
        <v>72977</v>
      </c>
      <c r="I23" s="18">
        <v>64414</v>
      </c>
      <c r="J23" s="18">
        <v>62908</v>
      </c>
      <c r="K23" s="21">
        <f>1421+57718</f>
        <v>59139</v>
      </c>
      <c r="L23" s="19">
        <v>42230</v>
      </c>
      <c r="M23" s="19">
        <v>42509</v>
      </c>
      <c r="N23" s="19">
        <v>38587</v>
      </c>
      <c r="O23" s="18">
        <v>31748</v>
      </c>
      <c r="P23" s="18">
        <v>21123</v>
      </c>
    </row>
    <row r="24" spans="2:16" ht="11.25">
      <c r="B24" s="3" t="s">
        <v>21</v>
      </c>
      <c r="C24" s="18">
        <v>11092</v>
      </c>
      <c r="D24" s="18">
        <v>34148</v>
      </c>
      <c r="E24" s="19">
        <v>44605</v>
      </c>
      <c r="F24" s="20">
        <v>34839</v>
      </c>
      <c r="G24" s="18">
        <f>7+35507</f>
        <v>35514</v>
      </c>
      <c r="H24" s="18">
        <v>32709</v>
      </c>
      <c r="I24" s="18">
        <v>33113</v>
      </c>
      <c r="J24" s="18">
        <v>29059</v>
      </c>
      <c r="K24" s="21">
        <f>70+15143+12716</f>
        <v>27929</v>
      </c>
      <c r="L24" s="19">
        <v>2969</v>
      </c>
      <c r="M24" s="19">
        <v>5046</v>
      </c>
      <c r="N24" s="19">
        <v>5372</v>
      </c>
      <c r="O24" s="18">
        <v>2740</v>
      </c>
      <c r="P24" s="18">
        <v>2420</v>
      </c>
    </row>
    <row r="25" spans="1:16" ht="11.25">
      <c r="A25" s="4" t="s">
        <v>22</v>
      </c>
      <c r="B25" s="4"/>
      <c r="C25" s="24">
        <v>11227</v>
      </c>
      <c r="D25" s="24">
        <v>14145</v>
      </c>
      <c r="E25" s="24">
        <v>12139</v>
      </c>
      <c r="F25" s="25">
        <v>10463</v>
      </c>
      <c r="G25" s="24">
        <v>10728</v>
      </c>
      <c r="H25" s="24">
        <v>9316</v>
      </c>
      <c r="I25" s="24">
        <v>8648</v>
      </c>
      <c r="J25" s="24">
        <v>8236</v>
      </c>
      <c r="K25" s="26">
        <v>7875</v>
      </c>
      <c r="L25" s="24">
        <v>7611</v>
      </c>
      <c r="M25" s="24">
        <v>7325</v>
      </c>
      <c r="N25" s="24">
        <v>6582</v>
      </c>
      <c r="O25" s="24">
        <v>5890</v>
      </c>
      <c r="P25" s="27">
        <v>5614</v>
      </c>
    </row>
    <row r="26" spans="1:16" ht="11.25">
      <c r="A26" s="12" t="s">
        <v>23</v>
      </c>
      <c r="C26" s="6"/>
      <c r="E26" s="5"/>
      <c r="F26" s="28"/>
      <c r="K26" s="21"/>
      <c r="L26" s="19"/>
      <c r="M26" s="19"/>
      <c r="N26" s="19"/>
      <c r="O26" s="18"/>
      <c r="P26" s="29"/>
    </row>
    <row r="27" spans="1:16" ht="11.25">
      <c r="A27" s="3" t="s">
        <v>12</v>
      </c>
      <c r="C27" s="19">
        <f aca="true" t="shared" si="4" ref="C27:I27">(C10+G10)/2</f>
        <v>180387</v>
      </c>
      <c r="D27" s="19">
        <f t="shared" si="4"/>
        <v>143080</v>
      </c>
      <c r="E27" s="19">
        <f t="shared" si="4"/>
        <v>123098</v>
      </c>
      <c r="F27" s="20">
        <f t="shared" si="4"/>
        <v>114556.5</v>
      </c>
      <c r="G27" s="18">
        <f t="shared" si="4"/>
        <v>112777</v>
      </c>
      <c r="H27" s="18">
        <f t="shared" si="4"/>
        <v>85377.5</v>
      </c>
      <c r="I27" s="18">
        <f t="shared" si="4"/>
        <v>82216.5</v>
      </c>
      <c r="J27" s="18">
        <f>+(J10+N10)/2</f>
        <v>78926.5</v>
      </c>
      <c r="K27" s="21">
        <f>+(K10+O10)/2</f>
        <v>72150.5</v>
      </c>
      <c r="L27" s="19">
        <f>+(43375+L10)/2</f>
        <v>48393.5</v>
      </c>
      <c r="M27" s="19">
        <f>+(35055+M10)/2</f>
        <v>45867</v>
      </c>
      <c r="N27" s="19">
        <f>+(33738+N10)/2</f>
        <v>44898</v>
      </c>
      <c r="O27" s="18">
        <f>+(O10+P10)/2</f>
        <v>37673.5</v>
      </c>
      <c r="P27" s="18">
        <f>+(27584+P10)/2</f>
        <v>28531</v>
      </c>
    </row>
    <row r="28" spans="1:16" ht="11.25">
      <c r="A28" s="3" t="s">
        <v>24</v>
      </c>
      <c r="C28" s="19">
        <f aca="true" t="shared" si="5" ref="C28:P28">C29+C30</f>
        <v>84825.5</v>
      </c>
      <c r="D28" s="19">
        <f t="shared" si="5"/>
        <v>75832.5</v>
      </c>
      <c r="E28" s="19">
        <f t="shared" si="5"/>
        <v>64356</v>
      </c>
      <c r="F28" s="20">
        <f t="shared" si="5"/>
        <v>66231.5</v>
      </c>
      <c r="G28" s="18">
        <f t="shared" si="5"/>
        <v>70580</v>
      </c>
      <c r="H28" s="18">
        <f t="shared" si="5"/>
        <v>58042</v>
      </c>
      <c r="I28" s="18">
        <f t="shared" si="5"/>
        <v>55319.5</v>
      </c>
      <c r="J28" s="18">
        <f t="shared" si="5"/>
        <v>57848</v>
      </c>
      <c r="K28" s="21">
        <f t="shared" si="5"/>
        <v>54566</v>
      </c>
      <c r="L28" s="19">
        <f t="shared" si="5"/>
        <v>32961</v>
      </c>
      <c r="M28" s="19">
        <f t="shared" si="5"/>
        <v>30751</v>
      </c>
      <c r="N28" s="19">
        <f t="shared" si="5"/>
        <v>36013.5</v>
      </c>
      <c r="O28" s="18">
        <f t="shared" si="5"/>
        <v>33128</v>
      </c>
      <c r="P28" s="18">
        <f t="shared" si="5"/>
        <v>24988</v>
      </c>
    </row>
    <row r="29" spans="2:16" ht="11.25">
      <c r="B29" s="3" t="s">
        <v>14</v>
      </c>
      <c r="C29" s="19">
        <f aca="true" t="shared" si="6" ref="C29:I29">(C12+G12)/2</f>
        <v>70341.5</v>
      </c>
      <c r="D29" s="19">
        <f t="shared" si="6"/>
        <v>69081.5</v>
      </c>
      <c r="E29" s="19">
        <f t="shared" si="6"/>
        <v>62147</v>
      </c>
      <c r="F29" s="20">
        <f t="shared" si="6"/>
        <v>63780</v>
      </c>
      <c r="G29" s="18">
        <f t="shared" si="6"/>
        <v>67834.5</v>
      </c>
      <c r="H29" s="18">
        <f t="shared" si="6"/>
        <v>50957</v>
      </c>
      <c r="I29" s="18">
        <f t="shared" si="6"/>
        <v>52744.5</v>
      </c>
      <c r="J29" s="18">
        <f>+(J12+N12)/2</f>
        <v>48757</v>
      </c>
      <c r="K29" s="21">
        <f>+(K12+O12)/2</f>
        <v>47085</v>
      </c>
      <c r="L29" s="19">
        <f>+(27325+L12)/2</f>
        <v>27861.5</v>
      </c>
      <c r="M29" s="19">
        <f>+(26103+M12)/2</f>
        <v>27416</v>
      </c>
      <c r="N29" s="19">
        <f>+(17848+N12)/2</f>
        <v>23263</v>
      </c>
      <c r="O29" s="18">
        <f>+(O12+P12)/2</f>
        <v>23489</v>
      </c>
      <c r="P29" s="18">
        <f>+(15981+P12)/2</f>
        <v>17069</v>
      </c>
    </row>
    <row r="30" spans="2:16" ht="11.25">
      <c r="B30" s="3" t="s">
        <v>17</v>
      </c>
      <c r="C30" s="19">
        <f aca="true" t="shared" si="7" ref="C30:I30">(C15+G15)/2</f>
        <v>14484</v>
      </c>
      <c r="D30" s="19">
        <f t="shared" si="7"/>
        <v>6751</v>
      </c>
      <c r="E30" s="19">
        <f t="shared" si="7"/>
        <v>2209</v>
      </c>
      <c r="F30" s="20">
        <f t="shared" si="7"/>
        <v>2451.5</v>
      </c>
      <c r="G30" s="18">
        <f t="shared" si="7"/>
        <v>2745.5</v>
      </c>
      <c r="H30" s="18">
        <f t="shared" si="7"/>
        <v>7085</v>
      </c>
      <c r="I30" s="18">
        <f t="shared" si="7"/>
        <v>2575</v>
      </c>
      <c r="J30" s="18">
        <f>+(J15+N15)/2</f>
        <v>9091</v>
      </c>
      <c r="K30" s="21">
        <f>+(K15+O15)/2</f>
        <v>7481</v>
      </c>
      <c r="L30" s="19">
        <f>+(7618+L15)/2</f>
        <v>5099.5</v>
      </c>
      <c r="M30" s="19">
        <f>+(4091+M15)/2</f>
        <v>3335</v>
      </c>
      <c r="N30" s="19">
        <f>+(9889+N15)/2</f>
        <v>12750.5</v>
      </c>
      <c r="O30" s="18">
        <f>+(O15+P15)/2</f>
        <v>9639</v>
      </c>
      <c r="P30" s="18">
        <f>+(8940+P15)/2</f>
        <v>7919</v>
      </c>
    </row>
    <row r="31" spans="1:16" ht="11.25">
      <c r="A31" s="4" t="s">
        <v>22</v>
      </c>
      <c r="B31" s="4"/>
      <c r="C31" s="24">
        <f aca="true" t="shared" si="8" ref="C31:I31">(C25+G25)/2</f>
        <v>10977.5</v>
      </c>
      <c r="D31" s="19">
        <f t="shared" si="8"/>
        <v>11730.5</v>
      </c>
      <c r="E31" s="24">
        <f t="shared" si="8"/>
        <v>10393.5</v>
      </c>
      <c r="F31" s="25">
        <f t="shared" si="8"/>
        <v>9349.5</v>
      </c>
      <c r="G31" s="24">
        <f t="shared" si="8"/>
        <v>9301.5</v>
      </c>
      <c r="H31" s="24">
        <f t="shared" si="8"/>
        <v>8463.5</v>
      </c>
      <c r="I31" s="24">
        <f t="shared" si="8"/>
        <v>7986.5</v>
      </c>
      <c r="J31" s="24">
        <f>+(J25+N25)/2</f>
        <v>7409</v>
      </c>
      <c r="K31" s="26">
        <f>+(K25+O25)/2</f>
        <v>6882.5</v>
      </c>
      <c r="L31" s="24">
        <f>+(5403+L25)/2</f>
        <v>6507</v>
      </c>
      <c r="M31" s="24">
        <f>+(4907+M25)/2</f>
        <v>6116</v>
      </c>
      <c r="N31" s="24">
        <f>+(5768+N25)/2</f>
        <v>6175</v>
      </c>
      <c r="O31" s="24">
        <f>+(O25+P25)/2</f>
        <v>5752</v>
      </c>
      <c r="P31" s="24">
        <f>+(9678+P25)/2</f>
        <v>7646</v>
      </c>
    </row>
    <row r="32" spans="1:14" ht="11.25">
      <c r="A32" s="12" t="s">
        <v>25</v>
      </c>
      <c r="D32" s="6"/>
      <c r="E32" s="6"/>
      <c r="F32" s="28"/>
      <c r="K32" s="30"/>
      <c r="L32" s="5"/>
      <c r="M32" s="5"/>
      <c r="N32" s="5"/>
    </row>
    <row r="33" spans="1:16" ht="11.25">
      <c r="A33" s="3" t="s">
        <v>26</v>
      </c>
      <c r="C33" s="18">
        <v>13831</v>
      </c>
      <c r="D33" s="19">
        <v>10462</v>
      </c>
      <c r="E33" s="19">
        <v>6996</v>
      </c>
      <c r="F33" s="20">
        <v>3356</v>
      </c>
      <c r="G33" s="18">
        <v>15743</v>
      </c>
      <c r="H33" s="18">
        <v>11405</v>
      </c>
      <c r="I33" s="18">
        <v>7517</v>
      </c>
      <c r="J33" s="18">
        <v>3593</v>
      </c>
      <c r="K33" s="21">
        <v>6478</v>
      </c>
      <c r="L33" s="19">
        <v>4084</v>
      </c>
      <c r="M33" s="19">
        <v>2767</v>
      </c>
      <c r="N33" s="19">
        <v>1256</v>
      </c>
      <c r="O33" s="18">
        <v>4000</v>
      </c>
      <c r="P33" s="18">
        <v>4389</v>
      </c>
    </row>
    <row r="34" spans="1:16" ht="11.25">
      <c r="A34" s="3" t="s">
        <v>27</v>
      </c>
      <c r="C34" s="18">
        <v>8466</v>
      </c>
      <c r="D34" s="19">
        <v>5656</v>
      </c>
      <c r="E34" s="19">
        <v>3749</v>
      </c>
      <c r="F34" s="20">
        <v>2117</v>
      </c>
      <c r="G34" s="18">
        <v>9338</v>
      </c>
      <c r="H34" s="18">
        <v>7286</v>
      </c>
      <c r="I34" s="18">
        <v>4861</v>
      </c>
      <c r="J34" s="18">
        <v>2470</v>
      </c>
      <c r="K34" s="21">
        <v>4198</v>
      </c>
      <c r="L34" s="19">
        <v>2534</v>
      </c>
      <c r="M34" s="19">
        <v>1510</v>
      </c>
      <c r="N34" s="19">
        <v>717</v>
      </c>
      <c r="O34" s="18">
        <v>1967</v>
      </c>
      <c r="P34" s="18">
        <v>1137</v>
      </c>
    </row>
    <row r="35" spans="1:16" ht="11.25">
      <c r="A35" s="3" t="s">
        <v>28</v>
      </c>
      <c r="C35" s="19">
        <f>+C33-C34</f>
        <v>5365</v>
      </c>
      <c r="D35" s="19">
        <f>+D33-D34</f>
        <v>4806</v>
      </c>
      <c r="E35" s="19">
        <f>+E33-E34</f>
        <v>3247</v>
      </c>
      <c r="F35" s="20">
        <f>+F33-F34</f>
        <v>1239</v>
      </c>
      <c r="G35" s="18">
        <f>+G33-G34</f>
        <v>6405</v>
      </c>
      <c r="H35" s="18">
        <f aca="true" t="shared" si="9" ref="H35:P35">H33-H34</f>
        <v>4119</v>
      </c>
      <c r="I35" s="18">
        <f t="shared" si="9"/>
        <v>2656</v>
      </c>
      <c r="J35" s="18">
        <f t="shared" si="9"/>
        <v>1123</v>
      </c>
      <c r="K35" s="21">
        <f t="shared" si="9"/>
        <v>2280</v>
      </c>
      <c r="L35" s="19">
        <f t="shared" si="9"/>
        <v>1550</v>
      </c>
      <c r="M35" s="19">
        <f t="shared" si="9"/>
        <v>1257</v>
      </c>
      <c r="N35" s="19">
        <f t="shared" si="9"/>
        <v>539</v>
      </c>
      <c r="O35" s="18">
        <f t="shared" si="9"/>
        <v>2033</v>
      </c>
      <c r="P35" s="18">
        <f t="shared" si="9"/>
        <v>3252</v>
      </c>
    </row>
    <row r="36" spans="1:16" ht="11.25">
      <c r="A36" s="3" t="s">
        <v>29</v>
      </c>
      <c r="C36" s="18">
        <v>20167</v>
      </c>
      <c r="D36" s="19">
        <v>17661</v>
      </c>
      <c r="E36" s="19">
        <v>14835</v>
      </c>
      <c r="F36" s="20">
        <v>7474</v>
      </c>
      <c r="G36" s="18">
        <v>3494</v>
      </c>
      <c r="H36" s="18">
        <v>2783</v>
      </c>
      <c r="I36" s="18">
        <v>1253</v>
      </c>
      <c r="J36" s="18">
        <v>513</v>
      </c>
      <c r="K36" s="21">
        <v>2293</v>
      </c>
      <c r="L36" s="19">
        <v>1919</v>
      </c>
      <c r="M36" s="19">
        <v>1727</v>
      </c>
      <c r="N36" s="19">
        <v>432</v>
      </c>
      <c r="O36" s="18">
        <v>1352</v>
      </c>
      <c r="P36" s="18">
        <v>594</v>
      </c>
    </row>
    <row r="37" spans="1:16" ht="11.25">
      <c r="A37" s="3" t="s">
        <v>30</v>
      </c>
      <c r="C37" s="19">
        <f>+C36+C35</f>
        <v>25532</v>
      </c>
      <c r="D37" s="19">
        <f>+D36+D35</f>
        <v>22467</v>
      </c>
      <c r="E37" s="19">
        <v>18082</v>
      </c>
      <c r="F37" s="20">
        <v>8712</v>
      </c>
      <c r="G37" s="18">
        <f>+G36+G35</f>
        <v>9899</v>
      </c>
      <c r="H37" s="18">
        <f aca="true" t="shared" si="10" ref="H37:P37">H35+H36</f>
        <v>6902</v>
      </c>
      <c r="I37" s="18">
        <f t="shared" si="10"/>
        <v>3909</v>
      </c>
      <c r="J37" s="18">
        <f t="shared" si="10"/>
        <v>1636</v>
      </c>
      <c r="K37" s="21">
        <f t="shared" si="10"/>
        <v>4573</v>
      </c>
      <c r="L37" s="19">
        <f t="shared" si="10"/>
        <v>3469</v>
      </c>
      <c r="M37" s="19">
        <f t="shared" si="10"/>
        <v>2984</v>
      </c>
      <c r="N37" s="19">
        <f t="shared" si="10"/>
        <v>971</v>
      </c>
      <c r="O37" s="18">
        <f t="shared" si="10"/>
        <v>3385</v>
      </c>
      <c r="P37" s="18">
        <f t="shared" si="10"/>
        <v>3846</v>
      </c>
    </row>
    <row r="38" spans="1:17" ht="11.25">
      <c r="A38" s="3" t="s">
        <v>31</v>
      </c>
      <c r="C38" s="18">
        <v>21836</v>
      </c>
      <c r="D38" s="19">
        <v>19597</v>
      </c>
      <c r="E38" s="19">
        <v>17217</v>
      </c>
      <c r="F38" s="20">
        <v>9524</v>
      </c>
      <c r="G38" s="18">
        <v>5209</v>
      </c>
      <c r="H38" s="18">
        <v>3703</v>
      </c>
      <c r="I38" s="18">
        <v>2135</v>
      </c>
      <c r="J38" s="18">
        <v>1275</v>
      </c>
      <c r="K38" s="21">
        <v>2702</v>
      </c>
      <c r="L38" s="19">
        <v>1864</v>
      </c>
      <c r="M38" s="19">
        <v>1739</v>
      </c>
      <c r="N38" s="19">
        <v>468</v>
      </c>
      <c r="O38" s="18">
        <v>928</v>
      </c>
      <c r="P38" s="18">
        <v>1013</v>
      </c>
      <c r="Q38" s="18"/>
    </row>
    <row r="39" spans="1:16" ht="11.25">
      <c r="A39" s="3" t="s">
        <v>32</v>
      </c>
      <c r="C39" s="19">
        <f>+C37-C38</f>
        <v>3696</v>
      </c>
      <c r="D39" s="19">
        <f>+D37-D38</f>
        <v>2870</v>
      </c>
      <c r="E39" s="19">
        <f>+E37-E38</f>
        <v>865</v>
      </c>
      <c r="F39" s="20">
        <f>+F37-F38</f>
        <v>-812</v>
      </c>
      <c r="G39" s="18">
        <f>+G37-G38</f>
        <v>4690</v>
      </c>
      <c r="H39" s="18">
        <f aca="true" t="shared" si="11" ref="H39:P39">H37-H38</f>
        <v>3199</v>
      </c>
      <c r="I39" s="18">
        <f t="shared" si="11"/>
        <v>1774</v>
      </c>
      <c r="J39" s="18">
        <f t="shared" si="11"/>
        <v>361</v>
      </c>
      <c r="K39" s="21">
        <f t="shared" si="11"/>
        <v>1871</v>
      </c>
      <c r="L39" s="19">
        <f t="shared" si="11"/>
        <v>1605</v>
      </c>
      <c r="M39" s="19">
        <f t="shared" si="11"/>
        <v>1245</v>
      </c>
      <c r="N39" s="19">
        <f t="shared" si="11"/>
        <v>503</v>
      </c>
      <c r="O39" s="18">
        <f t="shared" si="11"/>
        <v>2457</v>
      </c>
      <c r="P39" s="18">
        <f t="shared" si="11"/>
        <v>2833</v>
      </c>
    </row>
    <row r="40" spans="1:16" ht="11.25">
      <c r="A40" s="4" t="s">
        <v>33</v>
      </c>
      <c r="B40" s="4"/>
      <c r="C40" s="24">
        <f>+C39-3798</f>
        <v>-102</v>
      </c>
      <c r="D40" s="24">
        <f>+D39-56</f>
        <v>2814</v>
      </c>
      <c r="E40" s="24">
        <f>+E39-56</f>
        <v>809</v>
      </c>
      <c r="F40" s="25">
        <f>+F39-56</f>
        <v>-868</v>
      </c>
      <c r="G40" s="24">
        <f>+G39-837</f>
        <v>3853</v>
      </c>
      <c r="H40" s="24">
        <v>2441</v>
      </c>
      <c r="I40" s="24">
        <v>1773</v>
      </c>
      <c r="J40" s="24">
        <v>361</v>
      </c>
      <c r="K40" s="26">
        <v>1798</v>
      </c>
      <c r="L40" s="24">
        <v>1532</v>
      </c>
      <c r="M40" s="24">
        <v>1245</v>
      </c>
      <c r="N40" s="24">
        <v>503</v>
      </c>
      <c r="O40" s="24">
        <v>2457</v>
      </c>
      <c r="P40" s="24">
        <v>2820</v>
      </c>
    </row>
    <row r="41" spans="1:16" ht="11.25">
      <c r="A41" s="13" t="s">
        <v>34</v>
      </c>
      <c r="B41" s="6"/>
      <c r="C41" s="5"/>
      <c r="D41" s="18"/>
      <c r="E41" s="19"/>
      <c r="F41" s="28"/>
      <c r="G41" s="5"/>
      <c r="H41" s="5"/>
      <c r="I41" s="18"/>
      <c r="J41" s="6"/>
      <c r="K41" s="31"/>
      <c r="L41" s="6"/>
      <c r="M41" s="6"/>
      <c r="N41" s="5"/>
      <c r="O41" s="6"/>
      <c r="P41" s="6"/>
    </row>
    <row r="42" spans="1:16" ht="11.25">
      <c r="A42" s="5" t="s">
        <v>35</v>
      </c>
      <c r="B42" s="5"/>
      <c r="C42" s="19">
        <v>8438</v>
      </c>
      <c r="D42" s="18">
        <v>9191</v>
      </c>
      <c r="E42" s="19">
        <v>4573</v>
      </c>
      <c r="F42" s="20">
        <v>2913</v>
      </c>
      <c r="G42" s="19">
        <v>1128</v>
      </c>
      <c r="H42" s="32">
        <v>0</v>
      </c>
      <c r="I42" s="18">
        <v>0</v>
      </c>
      <c r="J42" s="19">
        <v>0</v>
      </c>
      <c r="K42" s="21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ht="11.25">
      <c r="A43" s="5" t="s">
        <v>36</v>
      </c>
      <c r="B43" s="5"/>
      <c r="C43" s="19">
        <v>5359</v>
      </c>
      <c r="D43" s="18">
        <v>2373</v>
      </c>
      <c r="E43" s="19">
        <v>2373</v>
      </c>
      <c r="F43" s="20">
        <v>1972</v>
      </c>
      <c r="G43" s="19">
        <v>1983</v>
      </c>
      <c r="H43" s="32">
        <v>0</v>
      </c>
      <c r="I43" s="18">
        <v>0</v>
      </c>
      <c r="J43" s="19">
        <v>0</v>
      </c>
      <c r="K43" s="21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11.25">
      <c r="A44" s="5" t="s">
        <v>37</v>
      </c>
      <c r="B44" s="5"/>
      <c r="C44" s="33">
        <f aca="true" t="shared" si="12" ref="C44:I44">C42/C12</f>
        <v>0.11992098119750437</v>
      </c>
      <c r="D44" s="33">
        <f t="shared" si="12"/>
        <v>0.14217210388726467</v>
      </c>
      <c r="E44" s="33">
        <f t="shared" si="12"/>
        <v>0.0962048218117558</v>
      </c>
      <c r="F44" s="34">
        <f t="shared" si="12"/>
        <v>0.04960493154417274</v>
      </c>
      <c r="G44" s="35">
        <f t="shared" si="12"/>
        <v>0.016040955631399317</v>
      </c>
      <c r="H44" s="35">
        <f t="shared" si="12"/>
        <v>0</v>
      </c>
      <c r="I44" s="35">
        <f t="shared" si="12"/>
        <v>0</v>
      </c>
      <c r="J44" s="33">
        <v>0</v>
      </c>
      <c r="K44" s="36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</row>
    <row r="45" spans="1:16" ht="11.25">
      <c r="A45" s="5" t="s">
        <v>38</v>
      </c>
      <c r="B45" s="5"/>
      <c r="C45" s="33">
        <f>C43/C42</f>
        <v>0.6351031050011852</v>
      </c>
      <c r="D45" s="33">
        <f>D43/D42</f>
        <v>0.25818735719725816</v>
      </c>
      <c r="E45" s="33">
        <f>E43/E42</f>
        <v>0.5189153728405861</v>
      </c>
      <c r="F45" s="34">
        <f>+F42/F43</f>
        <v>1.4771805273833671</v>
      </c>
      <c r="G45" s="35">
        <f>+G42/G43</f>
        <v>0.5688350983358548</v>
      </c>
      <c r="H45" s="35">
        <v>0</v>
      </c>
      <c r="I45" s="35">
        <v>0</v>
      </c>
      <c r="J45" s="33">
        <v>0</v>
      </c>
      <c r="K45" s="36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</row>
    <row r="46" spans="1:16" ht="11.25">
      <c r="A46" s="4" t="s">
        <v>39</v>
      </c>
      <c r="B46" s="4"/>
      <c r="C46" s="37">
        <f aca="true" t="shared" si="13" ref="C46:I46">C43/C12</f>
        <v>0.07616218751332376</v>
      </c>
      <c r="D46" s="37">
        <f t="shared" si="13"/>
        <v>0.03670703976982691</v>
      </c>
      <c r="E46" s="33">
        <f t="shared" si="13"/>
        <v>0.049922160979509404</v>
      </c>
      <c r="F46" s="38">
        <f t="shared" si="13"/>
        <v>0.03358081874531708</v>
      </c>
      <c r="G46" s="37">
        <f t="shared" si="13"/>
        <v>0.028199658703071673</v>
      </c>
      <c r="H46" s="37">
        <f t="shared" si="13"/>
        <v>0</v>
      </c>
      <c r="I46" s="37">
        <f t="shared" si="13"/>
        <v>0</v>
      </c>
      <c r="J46" s="37">
        <v>0</v>
      </c>
      <c r="K46" s="39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7" s="2" customFormat="1" ht="11.25">
      <c r="A47" s="40" t="s">
        <v>40</v>
      </c>
      <c r="B47" s="41"/>
      <c r="C47" s="41"/>
      <c r="D47" s="3"/>
      <c r="E47" s="42"/>
      <c r="F47" s="43"/>
      <c r="G47" s="44"/>
      <c r="H47" s="44"/>
      <c r="I47" s="44"/>
      <c r="J47" s="45"/>
      <c r="K47" s="44"/>
      <c r="L47" s="44"/>
      <c r="M47" s="44"/>
      <c r="N47" s="46"/>
      <c r="O47" s="44"/>
      <c r="P47" s="44"/>
      <c r="Q47" s="41"/>
    </row>
    <row r="48" spans="1:17" s="2" customFormat="1" ht="11.25">
      <c r="A48" s="41" t="s">
        <v>41</v>
      </c>
      <c r="B48" s="41"/>
      <c r="C48" s="33">
        <f aca="true" t="shared" si="14" ref="C48:P48">+C25/C12</f>
        <v>0.15955829057885537</v>
      </c>
      <c r="D48" s="33">
        <f t="shared" si="14"/>
        <v>0.21880365678221728</v>
      </c>
      <c r="E48" s="47">
        <f t="shared" si="14"/>
        <v>0.25537509992847224</v>
      </c>
      <c r="F48" s="48">
        <f t="shared" si="14"/>
        <v>0.1781724678155439</v>
      </c>
      <c r="G48" s="47">
        <f t="shared" si="14"/>
        <v>0.15255972696245734</v>
      </c>
      <c r="H48" s="47">
        <f t="shared" si="14"/>
        <v>0.12672071385820774</v>
      </c>
      <c r="I48" s="47">
        <f t="shared" si="14"/>
        <v>0.11266284523189161</v>
      </c>
      <c r="J48" s="48">
        <f t="shared" si="14"/>
        <v>0.11964669649601953</v>
      </c>
      <c r="K48" s="47">
        <f t="shared" si="14"/>
        <v>0.12050681724280402</v>
      </c>
      <c r="L48" s="47">
        <f t="shared" si="14"/>
        <v>0.2680118318191422</v>
      </c>
      <c r="M48" s="47">
        <f t="shared" si="14"/>
        <v>0.2549688468098437</v>
      </c>
      <c r="N48" s="47">
        <f t="shared" si="14"/>
        <v>0.22951391310412161</v>
      </c>
      <c r="O48" s="47">
        <f t="shared" si="14"/>
        <v>0.20436487283577948</v>
      </c>
      <c r="P48" s="47">
        <f t="shared" si="14"/>
        <v>0.30919204714435206</v>
      </c>
      <c r="Q48" s="41"/>
    </row>
    <row r="49" spans="1:17" s="2" customFormat="1" ht="11.25">
      <c r="A49" s="49" t="s">
        <v>42</v>
      </c>
      <c r="B49" s="49"/>
      <c r="C49" s="37">
        <f>C25/(C12+C15)</f>
        <v>0.11643608305158573</v>
      </c>
      <c r="D49" s="37">
        <f>D25/(D12+D15)</f>
        <v>0.21251502403846154</v>
      </c>
      <c r="E49" s="24">
        <f>(E33+I33)/2</f>
        <v>7256.5</v>
      </c>
      <c r="F49" s="50">
        <f aca="true" t="shared" si="15" ref="F49:P49">F25/(F12+F15)</f>
        <v>0.17136446271516778</v>
      </c>
      <c r="G49" s="51">
        <f t="shared" si="15"/>
        <v>0.14649933769408294</v>
      </c>
      <c r="H49" s="51">
        <f t="shared" si="15"/>
        <v>0.10946477880265554</v>
      </c>
      <c r="I49" s="51">
        <f t="shared" si="15"/>
        <v>0.10901160958515586</v>
      </c>
      <c r="J49" s="50">
        <f t="shared" si="15"/>
        <v>0.11534044758143573</v>
      </c>
      <c r="K49" s="51">
        <f t="shared" si="15"/>
        <v>0.11592645478500242</v>
      </c>
      <c r="L49" s="51">
        <f t="shared" si="15"/>
        <v>0.2456825591529746</v>
      </c>
      <c r="M49" s="51">
        <f t="shared" si="15"/>
        <v>0.23396575955027468</v>
      </c>
      <c r="N49" s="51">
        <f t="shared" si="15"/>
        <v>0.1486114247008354</v>
      </c>
      <c r="O49" s="51">
        <f t="shared" si="15"/>
        <v>0.14295769520157278</v>
      </c>
      <c r="P49" s="51">
        <f t="shared" si="15"/>
        <v>0.224067052484534</v>
      </c>
      <c r="Q49" s="41"/>
    </row>
    <row r="50" spans="1:14" ht="11.25">
      <c r="A50" s="12" t="s">
        <v>43</v>
      </c>
      <c r="C50" s="19"/>
      <c r="D50" s="19"/>
      <c r="E50" s="19"/>
      <c r="F50" s="28"/>
      <c r="K50" s="30"/>
      <c r="L50" s="5"/>
      <c r="M50" s="5"/>
      <c r="N50" s="5"/>
    </row>
    <row r="51" spans="1:16" ht="11.25">
      <c r="A51" s="3" t="s">
        <v>44</v>
      </c>
      <c r="C51" s="33">
        <f aca="true" t="shared" si="16" ref="C51:P51">C11/C16</f>
        <v>0.6030181605155243</v>
      </c>
      <c r="D51" s="33">
        <f t="shared" si="16"/>
        <v>0.6606104158474909</v>
      </c>
      <c r="E51" s="52">
        <f t="shared" si="16"/>
        <v>0.704300456831104</v>
      </c>
      <c r="F51" s="53">
        <f t="shared" si="16"/>
        <v>0.5666790675728403</v>
      </c>
      <c r="G51" s="54">
        <f t="shared" si="16"/>
        <v>0.45181409936559985</v>
      </c>
      <c r="H51" s="54">
        <f t="shared" si="16"/>
        <v>0.24139431902049469</v>
      </c>
      <c r="I51" s="54">
        <f t="shared" si="16"/>
        <v>0.2487003599003353</v>
      </c>
      <c r="J51" s="35">
        <f t="shared" si="16"/>
        <v>0.28760316200376224</v>
      </c>
      <c r="K51" s="36">
        <f t="shared" si="16"/>
        <v>0.3224146644002389</v>
      </c>
      <c r="L51" s="33">
        <f t="shared" si="16"/>
        <v>0.4546782008451514</v>
      </c>
      <c r="M51" s="33">
        <f t="shared" si="16"/>
        <v>0.5006413626327411</v>
      </c>
      <c r="N51" s="33">
        <f t="shared" si="16"/>
        <v>0.23364953706863215</v>
      </c>
      <c r="O51" s="35">
        <f t="shared" si="16"/>
        <v>0.11215495244722802</v>
      </c>
      <c r="P51" s="35">
        <f t="shared" si="16"/>
        <v>0.16170411587308328</v>
      </c>
    </row>
    <row r="52" spans="1:16" ht="11.25">
      <c r="A52" s="3" t="s">
        <v>45</v>
      </c>
      <c r="C52" s="33">
        <f aca="true" t="shared" si="17" ref="C52:P52">C11/C10</f>
        <v>0.5506864910208344</v>
      </c>
      <c r="D52" s="33">
        <f t="shared" si="17"/>
        <v>0.5772167494979771</v>
      </c>
      <c r="E52" s="52">
        <f t="shared" si="17"/>
        <v>0.6191690382976265</v>
      </c>
      <c r="F52" s="53">
        <f t="shared" si="17"/>
        <v>0.49051980081371055</v>
      </c>
      <c r="G52" s="54">
        <f t="shared" si="17"/>
        <v>0.3988924025739054</v>
      </c>
      <c r="H52" s="54">
        <f t="shared" si="17"/>
        <v>0.21741390624067902</v>
      </c>
      <c r="I52" s="54">
        <f t="shared" si="17"/>
        <v>0.22509605211871486</v>
      </c>
      <c r="J52" s="35">
        <f t="shared" si="17"/>
        <v>0.2598359447910015</v>
      </c>
      <c r="K52" s="36">
        <f t="shared" si="17"/>
        <v>0.2851918075422627</v>
      </c>
      <c r="L52" s="33">
        <f t="shared" si="17"/>
        <v>0.38476372350782595</v>
      </c>
      <c r="M52" s="33">
        <f t="shared" si="17"/>
        <v>0.42004975387709736</v>
      </c>
      <c r="N52" s="33">
        <f t="shared" si="17"/>
        <v>0.18322094973063613</v>
      </c>
      <c r="O52" s="35">
        <f t="shared" si="17"/>
        <v>0.08432710545248424</v>
      </c>
      <c r="P52" s="35">
        <f t="shared" si="17"/>
        <v>0.12914716059434153</v>
      </c>
    </row>
    <row r="53" spans="1:16" ht="11.25">
      <c r="A53" s="4" t="s">
        <v>46</v>
      </c>
      <c r="B53" s="4"/>
      <c r="C53" s="37">
        <f aca="true" t="shared" si="18" ref="C53:P53">(C11+C15)/C16</f>
        <v>0.7251458699472759</v>
      </c>
      <c r="D53" s="37">
        <f t="shared" si="18"/>
        <v>0.6735793798218378</v>
      </c>
      <c r="E53" s="55">
        <f t="shared" si="18"/>
        <v>0.7194761231800704</v>
      </c>
      <c r="F53" s="56">
        <f t="shared" si="18"/>
        <v>0.5878483217944414</v>
      </c>
      <c r="G53" s="55">
        <f t="shared" si="18"/>
        <v>0.4777336232090669</v>
      </c>
      <c r="H53" s="55">
        <f t="shared" si="18"/>
        <v>0.35104933482201994</v>
      </c>
      <c r="I53" s="55">
        <f t="shared" si="18"/>
        <v>0.27506229044264663</v>
      </c>
      <c r="J53" s="37">
        <f t="shared" si="18"/>
        <v>0.31554796829297466</v>
      </c>
      <c r="K53" s="39">
        <f t="shared" si="18"/>
        <v>0.352069646712914</v>
      </c>
      <c r="L53" s="37">
        <f t="shared" si="18"/>
        <v>0.5117812340980995</v>
      </c>
      <c r="M53" s="37">
        <f t="shared" si="18"/>
        <v>0.5548733045946799</v>
      </c>
      <c r="N53" s="37">
        <f t="shared" si="18"/>
        <v>0.5887986532905662</v>
      </c>
      <c r="O53" s="37">
        <f t="shared" si="18"/>
        <v>0.4711203897007655</v>
      </c>
      <c r="P53" s="37">
        <f t="shared" si="18"/>
        <v>0.4546999108015121</v>
      </c>
    </row>
    <row r="54" spans="1:14" ht="11.25">
      <c r="A54" s="12" t="s">
        <v>47</v>
      </c>
      <c r="D54" s="19"/>
      <c r="E54" s="42"/>
      <c r="F54" s="28"/>
      <c r="K54" s="30"/>
      <c r="L54" s="5"/>
      <c r="M54" s="5"/>
      <c r="N54" s="5"/>
    </row>
    <row r="55" spans="1:16" ht="11.25">
      <c r="A55" s="3" t="s">
        <v>48</v>
      </c>
      <c r="B55" s="5"/>
      <c r="C55" s="47">
        <f>C40/C28</f>
        <v>-0.0012024685972968035</v>
      </c>
      <c r="D55" s="33">
        <f>(D40/0.75)/D28</f>
        <v>0.04947746678534929</v>
      </c>
      <c r="E55" s="33">
        <f>((E40)/0.5)/E28</f>
        <v>0.02514140095717571</v>
      </c>
      <c r="F55" s="34">
        <f>((F40)/0.25)/F28</f>
        <v>-0.052422185817926514</v>
      </c>
      <c r="G55" s="47">
        <f>G40/G28</f>
        <v>0.05459053556248229</v>
      </c>
      <c r="H55" s="47">
        <f>(H40/0.75)/H28</f>
        <v>0.056074336974374875</v>
      </c>
      <c r="I55" s="35">
        <f>(I40/0.5)/I28</f>
        <v>0.0641003624400076</v>
      </c>
      <c r="J55" s="35">
        <f>((J40)/0.25)/J28</f>
        <v>0.024961969298852166</v>
      </c>
      <c r="K55" s="57">
        <f>K40/K28</f>
        <v>0.03295092181944801</v>
      </c>
      <c r="L55" s="47">
        <f>(L40/0.75)/L28</f>
        <v>0.061972229806943564</v>
      </c>
      <c r="M55" s="47">
        <f>(M40/0.5)/M28</f>
        <v>0.08097297648856948</v>
      </c>
      <c r="N55" s="33">
        <f>((N40)/0.25)/N28</f>
        <v>0.0558679384119844</v>
      </c>
      <c r="O55" s="35">
        <f>O40/O28</f>
        <v>0.07416686790630282</v>
      </c>
      <c r="P55" s="35">
        <f>P40/P28</f>
        <v>0.11285417000160076</v>
      </c>
    </row>
    <row r="56" spans="1:16" ht="11.25">
      <c r="A56" s="3" t="s">
        <v>49</v>
      </c>
      <c r="B56" s="5"/>
      <c r="C56" s="47">
        <f>C40/C27</f>
        <v>-0.0005654509471303364</v>
      </c>
      <c r="D56" s="33">
        <f>(D40/0.75)/D27</f>
        <v>0.026223091976516635</v>
      </c>
      <c r="E56" s="33">
        <f>((E40)/0.5)/E27</f>
        <v>0.013143999090155812</v>
      </c>
      <c r="F56" s="34">
        <f>((F40)/0.25)/F27</f>
        <v>-0.030308188535788018</v>
      </c>
      <c r="G56" s="47">
        <f>G40/G27</f>
        <v>0.034164767638791595</v>
      </c>
      <c r="H56" s="47">
        <f>(H40/0.75)/H27</f>
        <v>0.038120894458922625</v>
      </c>
      <c r="I56" s="35">
        <f>(I40/0.5)/I27</f>
        <v>0.04313002864388535</v>
      </c>
      <c r="J56" s="35">
        <f>((J40)/0.25)/J27</f>
        <v>0.018295502777900957</v>
      </c>
      <c r="K56" s="57">
        <f>K40/K27</f>
        <v>0.024920132223615915</v>
      </c>
      <c r="L56" s="47">
        <f>(L40/0.75)/L27</f>
        <v>0.04220952538391864</v>
      </c>
      <c r="M56" s="47">
        <f>(M40/0.5)/M27</f>
        <v>0.054287396167179015</v>
      </c>
      <c r="N56" s="33">
        <f>((N40)/0.25)/N27</f>
        <v>0.044812686533921335</v>
      </c>
      <c r="O56" s="35">
        <f>O40/O27</f>
        <v>0.06521825686490504</v>
      </c>
      <c r="P56" s="35">
        <f>P40/P27</f>
        <v>0.09883985839963548</v>
      </c>
    </row>
    <row r="57" spans="1:16" ht="11.25">
      <c r="A57" s="3" t="s">
        <v>50</v>
      </c>
      <c r="B57" s="5"/>
      <c r="C57" s="47">
        <f>+C40/C31</f>
        <v>-0.009291733090412207</v>
      </c>
      <c r="D57" s="33">
        <f>(D40/0.75)/D31</f>
        <v>0.3198499637696603</v>
      </c>
      <c r="E57" s="33">
        <f>((E40)/0.5)/E31</f>
        <v>0.15567421946408813</v>
      </c>
      <c r="F57" s="34">
        <f>((F40)/0.25)/F31</f>
        <v>-0.3713567570458313</v>
      </c>
      <c r="G57" s="47">
        <f>+G40/G31</f>
        <v>0.41423426329086704</v>
      </c>
      <c r="H57" s="47">
        <f>(H40/0.75)/H31</f>
        <v>0.3845532778007522</v>
      </c>
      <c r="I57" s="35">
        <f>(I40/0.5)/I31</f>
        <v>0.4439992487322357</v>
      </c>
      <c r="J57" s="35">
        <f>((J40)/0.25)/J31</f>
        <v>0.19489809690916454</v>
      </c>
      <c r="K57" s="57">
        <f>+K40/K31</f>
        <v>0.2612422811478387</v>
      </c>
      <c r="L57" s="47">
        <f>(L40/0.75)/L31</f>
        <v>0.31391834434711335</v>
      </c>
      <c r="M57" s="47">
        <f>(M40/0.5)/M31</f>
        <v>0.40712884238064095</v>
      </c>
      <c r="N57" s="33">
        <f>((N40)/0.25)/N31</f>
        <v>0.32582995951417004</v>
      </c>
      <c r="O57" s="35">
        <f>O40/O31</f>
        <v>0.4271557719054242</v>
      </c>
      <c r="P57" s="35">
        <f>P40/P31</f>
        <v>0.36882029819513473</v>
      </c>
    </row>
    <row r="58" spans="1:16" ht="11.25">
      <c r="A58" s="3" t="s">
        <v>51</v>
      </c>
      <c r="B58" s="5"/>
      <c r="C58" s="47">
        <f>C33/C28</f>
        <v>0.1630523840118832</v>
      </c>
      <c r="D58" s="33">
        <f>(D33/0.75)/D28</f>
        <v>0.183949274167848</v>
      </c>
      <c r="E58" s="33">
        <f>((E33)/0.5)/E28</f>
        <v>0.21741562558269625</v>
      </c>
      <c r="F58" s="34">
        <f>((F33)/0.25)/F28</f>
        <v>0.20268301336977118</v>
      </c>
      <c r="G58" s="47">
        <f>G33/G28</f>
        <v>0.2230518560498725</v>
      </c>
      <c r="H58" s="47">
        <f>(H33/0.75)/H28</f>
        <v>0.26199418811665115</v>
      </c>
      <c r="I58" s="35">
        <f>(I33/0.5)/I28</f>
        <v>0.27176673686493913</v>
      </c>
      <c r="J58" s="35">
        <f>((J33)/0.25)/J28</f>
        <v>0.24844419858940672</v>
      </c>
      <c r="K58" s="57">
        <f>K33/K28</f>
        <v>0.11871861598797787</v>
      </c>
      <c r="L58" s="47">
        <f>(L33/0.75)/L28</f>
        <v>0.1652053436890062</v>
      </c>
      <c r="M58" s="47">
        <f>(M33/0.5)/M28</f>
        <v>0.17996162726415402</v>
      </c>
      <c r="N58" s="33">
        <f>((N33)/0.25)/N28</f>
        <v>0.1395032418398656</v>
      </c>
      <c r="O58" s="35">
        <f>O33/O28</f>
        <v>0.12074378169524269</v>
      </c>
      <c r="P58" s="35">
        <f>P33/P27</f>
        <v>0.15383267323262417</v>
      </c>
    </row>
    <row r="59" spans="1:16" ht="11.25">
      <c r="A59" s="3" t="s">
        <v>52</v>
      </c>
      <c r="B59" s="5"/>
      <c r="C59" s="47">
        <f>C34/C28</f>
        <v>0.09980489357563468</v>
      </c>
      <c r="D59" s="33">
        <f>(D34/0.75)/D28</f>
        <v>0.09944724667304036</v>
      </c>
      <c r="E59" s="33">
        <f>((E34)/0.5)/E28</f>
        <v>0.11650817328609608</v>
      </c>
      <c r="F59" s="34">
        <f>((F34)/0.25)/F28</f>
        <v>0.12785457071031156</v>
      </c>
      <c r="G59" s="47">
        <f>G34/G28</f>
        <v>0.13230376877302352</v>
      </c>
      <c r="H59" s="47">
        <f>(H34/0.75)/H28</f>
        <v>0.16737305169819555</v>
      </c>
      <c r="I59" s="35">
        <f>(I34/0.5)/I28</f>
        <v>0.17574273086343875</v>
      </c>
      <c r="J59" s="35">
        <f>((J34)/0.25)/J28</f>
        <v>0.1707924215184622</v>
      </c>
      <c r="K59" s="57">
        <f>K34/K28</f>
        <v>0.07693435472638639</v>
      </c>
      <c r="L59" s="47">
        <f>(L34/0.75)/L28</f>
        <v>0.10250498063367817</v>
      </c>
      <c r="M59" s="47">
        <f>(M34/0.5)/M28</f>
        <v>0.09820818835159832</v>
      </c>
      <c r="N59" s="33">
        <f>((N34)/0.25)/N28</f>
        <v>0.07963680286559206</v>
      </c>
      <c r="O59" s="35">
        <f>O34/O28</f>
        <v>0.05937575464863559</v>
      </c>
      <c r="P59" s="35">
        <f>P34/P27</f>
        <v>0.039851389716448776</v>
      </c>
    </row>
    <row r="60" spans="1:16" ht="11.25">
      <c r="A60" s="3" t="s">
        <v>53</v>
      </c>
      <c r="B60" s="5"/>
      <c r="C60" s="47">
        <f>C35/C28</f>
        <v>0.06324749043624853</v>
      </c>
      <c r="D60" s="33">
        <f>(D35/0.75)/D28</f>
        <v>0.08450202749480763</v>
      </c>
      <c r="E60" s="33">
        <f>((E35)/0.5)/E28</f>
        <v>0.10090745229660016</v>
      </c>
      <c r="F60" s="34">
        <f>((F35)/0.25)/F28</f>
        <v>0.07482844265945962</v>
      </c>
      <c r="G60" s="47">
        <f>G35/G28</f>
        <v>0.09074808727684897</v>
      </c>
      <c r="H60" s="47">
        <f>(H35/0.75)/H28</f>
        <v>0.0946211364184556</v>
      </c>
      <c r="I60" s="35">
        <f>(I35/0.5)/I28</f>
        <v>0.09602400600150038</v>
      </c>
      <c r="J60" s="35">
        <f>((J35)/0.25)/J28</f>
        <v>0.07765177707094455</v>
      </c>
      <c r="K60" s="57">
        <f>K35/K28</f>
        <v>0.04178426126159147</v>
      </c>
      <c r="L60" s="47">
        <f>(L35/0.75)/L28</f>
        <v>0.06270036305532802</v>
      </c>
      <c r="M60" s="47">
        <f>(M35/0.5)/M28</f>
        <v>0.0817534389125557</v>
      </c>
      <c r="N60" s="33">
        <f>((N35)/0.25)/N28</f>
        <v>0.05986643897427354</v>
      </c>
      <c r="O60" s="35">
        <f>O35/O28</f>
        <v>0.0613680270466071</v>
      </c>
      <c r="P60" s="35">
        <f>P35/P27</f>
        <v>0.11398128351617538</v>
      </c>
    </row>
    <row r="61" spans="1:16" ht="11.25">
      <c r="A61" s="3" t="s">
        <v>54</v>
      </c>
      <c r="B61" s="5"/>
      <c r="C61" s="47">
        <f>C38/C37</f>
        <v>0.8552404825317249</v>
      </c>
      <c r="D61" s="33">
        <f>(D38/0.75)/(D37/0.75)</f>
        <v>0.8722570881737659</v>
      </c>
      <c r="E61" s="33">
        <f>(E38/0.5)/(E37/0.5)</f>
        <v>0.9521623714190908</v>
      </c>
      <c r="F61" s="34">
        <f>(F38/0.25)/(F37/0.25)</f>
        <v>1.0932047750229568</v>
      </c>
      <c r="G61" s="47">
        <f>G38/G37</f>
        <v>0.5262147691686029</v>
      </c>
      <c r="H61" s="47">
        <f>(H38/0.75)/(H37/0.75)</f>
        <v>0.5365111561866126</v>
      </c>
      <c r="I61" s="35">
        <f>(I38/0.5)/(I37/0.5)</f>
        <v>0.5461754924533129</v>
      </c>
      <c r="J61" s="35">
        <f>(J38/0.25)/(J37/0.25)</f>
        <v>0.7793398533007335</v>
      </c>
      <c r="K61" s="57">
        <f>K38/K37</f>
        <v>0.5908593920839711</v>
      </c>
      <c r="L61" s="47">
        <f>(L38/0.75)/(L37/0.75)</f>
        <v>0.5373306428365524</v>
      </c>
      <c r="M61" s="47">
        <f>(M38/0.5)/(M37/0.5)</f>
        <v>0.582774798927614</v>
      </c>
      <c r="N61" s="33">
        <f>(N38/0.25)/(N37/0.25)</f>
        <v>0.4819773429454171</v>
      </c>
      <c r="O61" s="35">
        <f>O38/O37</f>
        <v>0.2741506646971935</v>
      </c>
      <c r="P61" s="35">
        <f>P38/P37</f>
        <v>0.26339053562142484</v>
      </c>
    </row>
    <row r="62" spans="1:16" ht="11.25">
      <c r="A62" s="4" t="s">
        <v>55</v>
      </c>
      <c r="B62" s="4"/>
      <c r="C62" s="51">
        <f>C36/C28</f>
        <v>0.23774690393808465</v>
      </c>
      <c r="D62" s="37">
        <f>(D36/0.75)/D28</f>
        <v>0.31052648930208027</v>
      </c>
      <c r="E62" s="37">
        <f>(E36/0.5)/E28</f>
        <v>0.4610292746597054</v>
      </c>
      <c r="F62" s="38">
        <f>(F36/0.25)/F28</f>
        <v>0.4513864248884594</v>
      </c>
      <c r="G62" s="51">
        <f>G36/G28</f>
        <v>0.04950410881269481</v>
      </c>
      <c r="H62" s="51">
        <f>(H36/0.75)/H28</f>
        <v>0.06393071683723281</v>
      </c>
      <c r="I62" s="37">
        <f>(I36/0.5)/I28</f>
        <v>0.04530048174694276</v>
      </c>
      <c r="J62" s="37">
        <f>(J36/0.25)/J28</f>
        <v>0.035472272161526756</v>
      </c>
      <c r="K62" s="58">
        <f>K36/K28</f>
        <v>0.04202250485650405</v>
      </c>
      <c r="L62" s="51">
        <f>(L36/0.75)/L28</f>
        <v>0.07762709464720932</v>
      </c>
      <c r="M62" s="51">
        <f>(M36/0.5)/M28</f>
        <v>0.11232155051868233</v>
      </c>
      <c r="N62" s="37">
        <f>(N36/0.25)/N28</f>
        <v>0.0479820067474697</v>
      </c>
      <c r="O62" s="37">
        <f>O36/O28</f>
        <v>0.04081139821299203</v>
      </c>
      <c r="P62" s="37">
        <f>P36/P27</f>
        <v>0.020819459535242366</v>
      </c>
    </row>
    <row r="63" spans="1:14" ht="11.25">
      <c r="A63" s="12" t="s">
        <v>56</v>
      </c>
      <c r="E63" s="19"/>
      <c r="F63" s="28"/>
      <c r="K63" s="30"/>
      <c r="L63" s="5"/>
      <c r="M63" s="5"/>
      <c r="N63" s="5"/>
    </row>
    <row r="64" spans="1:16" ht="11.25">
      <c r="A64" s="3" t="s">
        <v>57</v>
      </c>
      <c r="C64" s="3">
        <v>9</v>
      </c>
      <c r="D64" s="3">
        <v>9</v>
      </c>
      <c r="E64" s="19">
        <v>7</v>
      </c>
      <c r="F64" s="28">
        <v>7</v>
      </c>
      <c r="G64" s="3">
        <v>6</v>
      </c>
      <c r="H64" s="3">
        <v>6</v>
      </c>
      <c r="I64" s="18">
        <v>6</v>
      </c>
      <c r="J64" s="18">
        <v>6</v>
      </c>
      <c r="K64" s="21">
        <v>6</v>
      </c>
      <c r="L64" s="19">
        <v>6</v>
      </c>
      <c r="M64" s="19">
        <v>6</v>
      </c>
      <c r="N64" s="19">
        <v>6</v>
      </c>
      <c r="O64" s="18">
        <v>6</v>
      </c>
      <c r="P64" s="18">
        <v>6</v>
      </c>
    </row>
    <row r="65" spans="1:16" ht="11.25">
      <c r="A65" s="3" t="s">
        <v>58</v>
      </c>
      <c r="C65" s="3">
        <v>1</v>
      </c>
      <c r="D65" s="3">
        <v>1</v>
      </c>
      <c r="E65" s="19">
        <v>1</v>
      </c>
      <c r="F65" s="28">
        <v>1</v>
      </c>
      <c r="G65" s="3">
        <v>1</v>
      </c>
      <c r="H65" s="3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3" t="s">
        <v>59</v>
      </c>
      <c r="C66" s="19">
        <f aca="true" t="shared" si="19" ref="C66:P66">C12/C64</f>
        <v>7818.111111111111</v>
      </c>
      <c r="D66" s="19">
        <f t="shared" si="19"/>
        <v>7183</v>
      </c>
      <c r="E66" s="19">
        <f t="shared" si="19"/>
        <v>6790.571428571428</v>
      </c>
      <c r="F66" s="20">
        <f t="shared" si="19"/>
        <v>8389.142857142857</v>
      </c>
      <c r="G66" s="18">
        <f t="shared" si="19"/>
        <v>11720</v>
      </c>
      <c r="H66" s="18">
        <f t="shared" si="19"/>
        <v>12252.666666666666</v>
      </c>
      <c r="I66" s="18">
        <f t="shared" si="19"/>
        <v>12793.333333333334</v>
      </c>
      <c r="J66" s="18">
        <f t="shared" si="19"/>
        <v>11472.666666666666</v>
      </c>
      <c r="K66" s="21">
        <f t="shared" si="19"/>
        <v>10891.5</v>
      </c>
      <c r="L66" s="19">
        <f t="shared" si="19"/>
        <v>4733</v>
      </c>
      <c r="M66" s="19">
        <f t="shared" si="19"/>
        <v>4788.166666666667</v>
      </c>
      <c r="N66" s="19">
        <f t="shared" si="19"/>
        <v>4779.666666666667</v>
      </c>
      <c r="O66" s="18">
        <f t="shared" si="19"/>
        <v>4803.5</v>
      </c>
      <c r="P66" s="18">
        <f t="shared" si="19"/>
        <v>3026.1666666666665</v>
      </c>
    </row>
    <row r="67" spans="1:16" ht="11.25">
      <c r="A67" s="3" t="s">
        <v>60</v>
      </c>
      <c r="C67" s="19">
        <f aca="true" t="shared" si="20" ref="C67:P67">+C16/C64</f>
        <v>23708.333333333332</v>
      </c>
      <c r="D67" s="19">
        <f t="shared" si="20"/>
        <v>16389.555555555555</v>
      </c>
      <c r="E67" s="19">
        <f t="shared" si="20"/>
        <v>17386.85714285714</v>
      </c>
      <c r="F67" s="20">
        <f t="shared" si="20"/>
        <v>15743.857142857143</v>
      </c>
      <c r="G67" s="18">
        <f t="shared" si="20"/>
        <v>18705.333333333332</v>
      </c>
      <c r="H67" s="18">
        <f t="shared" si="20"/>
        <v>17614.333333333332</v>
      </c>
      <c r="I67" s="18">
        <f t="shared" si="20"/>
        <v>16254.5</v>
      </c>
      <c r="J67" s="18">
        <f t="shared" si="20"/>
        <v>15327.833333333334</v>
      </c>
      <c r="K67" s="21">
        <f t="shared" si="20"/>
        <v>14511.333333333334</v>
      </c>
      <c r="L67" s="19">
        <f t="shared" si="20"/>
        <v>7533.166666666667</v>
      </c>
      <c r="M67" s="19">
        <f t="shared" si="20"/>
        <v>7925.833333333333</v>
      </c>
      <c r="N67" s="19">
        <f t="shared" si="20"/>
        <v>7326.5</v>
      </c>
      <c r="O67" s="18">
        <f t="shared" si="20"/>
        <v>5748</v>
      </c>
      <c r="P67" s="18">
        <f t="shared" si="20"/>
        <v>3923.8333333333335</v>
      </c>
    </row>
    <row r="68" spans="1:16" ht="11.25">
      <c r="A68" s="4" t="s">
        <v>61</v>
      </c>
      <c r="B68" s="4"/>
      <c r="C68" s="24">
        <f aca="true" t="shared" si="21" ref="C68:P68">+C40/C64</f>
        <v>-11.333333333333334</v>
      </c>
      <c r="D68" s="24">
        <f t="shared" si="21"/>
        <v>312.6666666666667</v>
      </c>
      <c r="E68" s="24">
        <f t="shared" si="21"/>
        <v>115.57142857142857</v>
      </c>
      <c r="F68" s="25">
        <f t="shared" si="21"/>
        <v>-124</v>
      </c>
      <c r="G68" s="24">
        <f t="shared" si="21"/>
        <v>642.1666666666666</v>
      </c>
      <c r="H68" s="24">
        <f t="shared" si="21"/>
        <v>406.8333333333333</v>
      </c>
      <c r="I68" s="24">
        <f t="shared" si="21"/>
        <v>295.5</v>
      </c>
      <c r="J68" s="24">
        <f t="shared" si="21"/>
        <v>60.166666666666664</v>
      </c>
      <c r="K68" s="26">
        <f t="shared" si="21"/>
        <v>299.6666666666667</v>
      </c>
      <c r="L68" s="24">
        <f t="shared" si="21"/>
        <v>255.33333333333334</v>
      </c>
      <c r="M68" s="24">
        <f t="shared" si="21"/>
        <v>207.5</v>
      </c>
      <c r="N68" s="24">
        <f t="shared" si="21"/>
        <v>83.83333333333333</v>
      </c>
      <c r="O68" s="24">
        <f t="shared" si="21"/>
        <v>409.5</v>
      </c>
      <c r="P68" s="24">
        <f t="shared" si="21"/>
        <v>470</v>
      </c>
    </row>
    <row r="69" spans="1:14" ht="11.25">
      <c r="A69" s="12" t="s">
        <v>62</v>
      </c>
      <c r="E69" s="42"/>
      <c r="F69" s="28"/>
      <c r="K69" s="30"/>
      <c r="L69" s="5"/>
      <c r="M69" s="5"/>
      <c r="N69" s="5"/>
    </row>
    <row r="70" spans="1:16" ht="11.25">
      <c r="A70" s="3" t="s">
        <v>63</v>
      </c>
      <c r="C70" s="35">
        <f>(C10/G10)-1</f>
        <v>0.8380138764336622</v>
      </c>
      <c r="D70" s="33">
        <f>(D10/H10)-1</f>
        <v>0.4386627238096861</v>
      </c>
      <c r="E70" s="33">
        <f>+(E10/I10)-1</f>
        <v>0.2847968520890176</v>
      </c>
      <c r="F70" s="34">
        <f>+(F10/J10)-1</f>
        <v>0.2507294071418047</v>
      </c>
      <c r="G70" s="35">
        <f>(G10/K10)-1</f>
        <v>0.2914702535760729</v>
      </c>
      <c r="H70" s="35">
        <f>(H10/L10)-1</f>
        <v>1.1969407623754962</v>
      </c>
      <c r="I70" s="35">
        <f>(I10/M10)-1</f>
        <v>0.9011274016831632</v>
      </c>
      <c r="J70" s="35">
        <f>+(J10/N10)-1</f>
        <v>0.8158871169146242</v>
      </c>
      <c r="K70" s="36">
        <f>+(K10/O10)-1</f>
        <v>1.1459373433037565</v>
      </c>
      <c r="L70" s="33">
        <f>+(L10/43375)-1</f>
        <v>0.231400576368876</v>
      </c>
      <c r="M70" s="33">
        <f>+(M10/35055)-1</f>
        <v>0.6168592212237911</v>
      </c>
      <c r="N70" s="33">
        <f>+(N10/33738)-1</f>
        <v>0.6615685577094077</v>
      </c>
      <c r="O70" s="35">
        <f>+(O10/P10)-1</f>
        <v>0.5560417938801818</v>
      </c>
      <c r="P70" s="35">
        <f>+(P10/27584)-1</f>
        <v>0.06866299303944312</v>
      </c>
    </row>
    <row r="71" spans="1:16" ht="11.25">
      <c r="A71" s="3" t="s">
        <v>64</v>
      </c>
      <c r="C71" s="35">
        <f>(C12/G12)-1</f>
        <v>0.0006114903299203611</v>
      </c>
      <c r="D71" s="33">
        <f>SUM(D72:D73)</f>
        <v>-0.12064040480983729</v>
      </c>
      <c r="E71" s="33">
        <f>SUM(E72:E73)</f>
        <v>-0.380745179781136</v>
      </c>
      <c r="F71" s="34">
        <f>SUM(F72:F73)</f>
        <v>-0.14689987797082926</v>
      </c>
      <c r="G71" s="35">
        <f>(G12/K12)-1</f>
        <v>0.07606849377955283</v>
      </c>
      <c r="H71" s="35">
        <f>(H12/L12)-1</f>
        <v>1.5887738573138952</v>
      </c>
      <c r="I71" s="35">
        <f>(I12/M12)-1</f>
        <v>1.6718646663649972</v>
      </c>
      <c r="J71" s="35">
        <f aca="true" t="shared" si="22" ref="J71:P71">SUM(J72:J73)</f>
        <v>1.4003068554292488</v>
      </c>
      <c r="K71" s="36">
        <f t="shared" si="22"/>
        <v>1.2674091808056627</v>
      </c>
      <c r="L71" s="33">
        <f t="shared" si="22"/>
        <v>0.039268069533394234</v>
      </c>
      <c r="M71" s="33">
        <f t="shared" si="22"/>
        <v>0.10060146343332188</v>
      </c>
      <c r="N71" s="33">
        <f t="shared" si="22"/>
        <v>0.6067906768265352</v>
      </c>
      <c r="O71" s="35">
        <f t="shared" si="22"/>
        <v>0.5873216941124635</v>
      </c>
      <c r="P71" s="35">
        <f t="shared" si="22"/>
        <v>0.13616169200926098</v>
      </c>
    </row>
    <row r="72" spans="2:16" ht="11.25">
      <c r="B72" s="3" t="s">
        <v>15</v>
      </c>
      <c r="C72" s="35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3">
        <v>0</v>
      </c>
      <c r="M72" s="33">
        <v>0</v>
      </c>
      <c r="N72" s="33">
        <v>0</v>
      </c>
      <c r="O72" s="35">
        <v>0</v>
      </c>
      <c r="P72" s="35">
        <v>0</v>
      </c>
    </row>
    <row r="73" spans="2:16" ht="11.25">
      <c r="B73" s="3" t="s">
        <v>16</v>
      </c>
      <c r="C73" s="35">
        <f>(C14/G14)-1</f>
        <v>0.0006114903299203611</v>
      </c>
      <c r="D73" s="33">
        <f>+(D14/H14)-1</f>
        <v>-0.12064040480983729</v>
      </c>
      <c r="E73" s="33">
        <f>+(E14/I14)-1</f>
        <v>-0.380745179781136</v>
      </c>
      <c r="F73" s="34">
        <f>+(F14/J14)-1</f>
        <v>-0.14689987797082926</v>
      </c>
      <c r="G73" s="35">
        <f>(G14/K14)-1</f>
        <v>0.07606849377955283</v>
      </c>
      <c r="H73" s="35">
        <f>(H14/L14)-1</f>
        <v>1.5887738573138952</v>
      </c>
      <c r="I73" s="35">
        <f>(I14/M14)-1</f>
        <v>1.6718646663649972</v>
      </c>
      <c r="J73" s="35">
        <f>+(J14/N14)-1</f>
        <v>1.4003068554292488</v>
      </c>
      <c r="K73" s="36">
        <f>+(K14/O14)-1</f>
        <v>1.2674091808056627</v>
      </c>
      <c r="L73" s="33">
        <f>+(L14/27325)-1</f>
        <v>0.039268069533394234</v>
      </c>
      <c r="M73" s="33">
        <f>+(M14/26103)-1</f>
        <v>0.10060146343332188</v>
      </c>
      <c r="N73" s="33">
        <f>+(N14/17848)-1</f>
        <v>0.6067906768265352</v>
      </c>
      <c r="O73" s="35">
        <f>+(O14/P14)-1</f>
        <v>0.5873216941124635</v>
      </c>
      <c r="P73" s="35">
        <f>+(P14/15981)-1</f>
        <v>0.13616169200926098</v>
      </c>
    </row>
    <row r="74" spans="1:16" ht="11.25">
      <c r="A74" s="3" t="s">
        <v>65</v>
      </c>
      <c r="C74" s="35">
        <f>(C16/G16)-1</f>
        <v>0.9011957374010977</v>
      </c>
      <c r="D74" s="33">
        <f>(D16/H16)-1</f>
        <v>0.3957004712071608</v>
      </c>
      <c r="E74" s="33">
        <f>SUM(E75:E76)</f>
        <v>0.24794159566068874</v>
      </c>
      <c r="F74" s="34">
        <f>SUM(F75:F76)</f>
        <v>0.198332010395033</v>
      </c>
      <c r="G74" s="35">
        <f>(G16/K16)-1</f>
        <v>0.28901548215188133</v>
      </c>
      <c r="H74" s="35">
        <f>(H16/L16)-1</f>
        <v>1.3382375716276909</v>
      </c>
      <c r="I74" s="35">
        <f>(I16/M16)-1</f>
        <v>1.050825360109347</v>
      </c>
      <c r="J74" s="35">
        <f aca="true" t="shared" si="23" ref="J74:P74">SUM(J75:J76)</f>
        <v>1.092108555699629</v>
      </c>
      <c r="K74" s="36">
        <f t="shared" si="23"/>
        <v>1.5245882625840874</v>
      </c>
      <c r="L74" s="33">
        <f t="shared" si="23"/>
        <v>0.2712774933903359</v>
      </c>
      <c r="M74" s="33">
        <f t="shared" si="23"/>
        <v>0.6018256534626785</v>
      </c>
      <c r="N74" s="33">
        <f t="shared" si="23"/>
        <v>0.6024715660542432</v>
      </c>
      <c r="O74" s="35">
        <f t="shared" si="23"/>
        <v>0.4648940237013124</v>
      </c>
      <c r="P74" s="35">
        <f t="shared" si="23"/>
        <v>0.3390399271982709</v>
      </c>
    </row>
    <row r="75" spans="2:16" ht="11.25">
      <c r="B75" s="3" t="s">
        <v>15</v>
      </c>
      <c r="C75" s="35">
        <v>0</v>
      </c>
      <c r="D75" s="33">
        <v>0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6">
        <v>0</v>
      </c>
      <c r="L75" s="33">
        <v>0</v>
      </c>
      <c r="M75" s="33">
        <v>0</v>
      </c>
      <c r="N75" s="33">
        <v>0</v>
      </c>
      <c r="O75" s="35">
        <v>0</v>
      </c>
      <c r="P75" s="35">
        <v>0</v>
      </c>
    </row>
    <row r="76" spans="2:16" ht="11.25">
      <c r="B76" s="3" t="s">
        <v>16</v>
      </c>
      <c r="C76" s="35">
        <f>(C21/G21)-1</f>
        <v>0.9011957374010977</v>
      </c>
      <c r="D76" s="33">
        <f>(D21/H21)-1</f>
        <v>0.3957004712071608</v>
      </c>
      <c r="E76" s="33">
        <f>+(E21/I21)-1</f>
        <v>0.24794159566068874</v>
      </c>
      <c r="F76" s="34">
        <f>+(F21/J21)-1</f>
        <v>0.198332010395033</v>
      </c>
      <c r="G76" s="35">
        <f>(G21/K21)-1</f>
        <v>0.28901548215188133</v>
      </c>
      <c r="H76" s="35">
        <f>(H21/L21)-1</f>
        <v>1.3382375716276909</v>
      </c>
      <c r="I76" s="35">
        <f>(I21/M21)-1</f>
        <v>1.050825360109347</v>
      </c>
      <c r="J76" s="35">
        <f>+(J21/N21)-1</f>
        <v>1.092108555699629</v>
      </c>
      <c r="K76" s="36">
        <f>+(K21/O21)-1</f>
        <v>1.5245882625840874</v>
      </c>
      <c r="L76" s="33">
        <f>+(L21/35554)-1</f>
        <v>0.2712774933903359</v>
      </c>
      <c r="M76" s="33">
        <f>+(M21/29688)-1</f>
        <v>0.6018256534626785</v>
      </c>
      <c r="N76" s="33">
        <f>+(N21/27432)-1</f>
        <v>0.6024715660542432</v>
      </c>
      <c r="O76" s="35">
        <f>+(O21/P21)-1</f>
        <v>0.4648940237013124</v>
      </c>
      <c r="P76" s="35">
        <f>+(P21/17582)-1</f>
        <v>0.3390399271982709</v>
      </c>
    </row>
    <row r="77" spans="1:16" ht="11.25">
      <c r="A77" s="3" t="s">
        <v>22</v>
      </c>
      <c r="C77" s="35">
        <f>(C25/G25)-1</f>
        <v>0.046513795674869574</v>
      </c>
      <c r="D77" s="33">
        <f>(D25/H25)-1</f>
        <v>0.5183555173894376</v>
      </c>
      <c r="E77" s="33">
        <f>+(E25/I25)-1</f>
        <v>0.40367715078630906</v>
      </c>
      <c r="F77" s="34">
        <f>+(F25/J25)-1</f>
        <v>0.2703982515784362</v>
      </c>
      <c r="G77" s="35">
        <f>(G25/K25)-1</f>
        <v>0.3622857142857143</v>
      </c>
      <c r="H77" s="35">
        <f>(H25/L25)-1</f>
        <v>0.22401786887399822</v>
      </c>
      <c r="I77" s="35">
        <f>(I25/M25)-1</f>
        <v>0.18061433447098985</v>
      </c>
      <c r="J77" s="33">
        <f>+(J25/N25)-1</f>
        <v>0.2512914007900333</v>
      </c>
      <c r="K77" s="36">
        <f>+(K25/O25)-1</f>
        <v>0.3370118845500849</v>
      </c>
      <c r="L77" s="33">
        <f>+(L25/5403)-1</f>
        <v>0.4086618545252638</v>
      </c>
      <c r="M77" s="33">
        <f>+(M25/4907)-1</f>
        <v>0.4927654371306298</v>
      </c>
      <c r="N77" s="33">
        <f>+(N25/5768)-1</f>
        <v>0.14112343966712904</v>
      </c>
      <c r="O77" s="33">
        <f>+(O25/P25)-1</f>
        <v>0.049162807267545405</v>
      </c>
      <c r="P77" s="33">
        <f>+(P25/9678)-1</f>
        <v>-0.419921471378384</v>
      </c>
    </row>
    <row r="78" spans="1:16" ht="11.25">
      <c r="A78" s="4" t="s">
        <v>66</v>
      </c>
      <c r="B78" s="4"/>
      <c r="C78" s="37">
        <f>(C40/G40)-1</f>
        <v>-1.0264728782766674</v>
      </c>
      <c r="D78" s="37">
        <f>(D40/H40)-1</f>
        <v>0.15280622695616541</v>
      </c>
      <c r="E78" s="37">
        <f>+(E40/I40)-1</f>
        <v>-0.5437112239142696</v>
      </c>
      <c r="F78" s="38">
        <f>+(F40/J40)-1</f>
        <v>-3.404432132963989</v>
      </c>
      <c r="G78" s="37">
        <f>(G40/K40)-1</f>
        <v>1.14293659621802</v>
      </c>
      <c r="H78" s="37">
        <f>(H40/L40)-1</f>
        <v>0.5933420365535249</v>
      </c>
      <c r="I78" s="37">
        <f>(I40/M40)-1</f>
        <v>0.42409638554216866</v>
      </c>
      <c r="J78" s="37">
        <f>+(J40/N40)-1</f>
        <v>-0.28230616302186884</v>
      </c>
      <c r="K78" s="39">
        <f>+(K40/O40)-1</f>
        <v>-0.2682132682132682</v>
      </c>
      <c r="L78" s="37">
        <f>+(L40/1731)-1</f>
        <v>-0.11496244945118428</v>
      </c>
      <c r="M78" s="37">
        <f>+(M40/1335)-1</f>
        <v>-0.0674157303370787</v>
      </c>
      <c r="N78" s="37">
        <f>+(N40/341)-1</f>
        <v>0.4750733137829912</v>
      </c>
      <c r="O78" s="37">
        <f>+(O40/P40)-1</f>
        <v>-0.12872340425531914</v>
      </c>
      <c r="P78" s="37">
        <f>+(P40/6625)-1</f>
        <v>-0.5743396226415094</v>
      </c>
    </row>
    <row r="79" spans="5:6" ht="11.25">
      <c r="E79" s="33"/>
      <c r="F79" s="5"/>
    </row>
    <row r="80" spans="5:6" ht="11.25">
      <c r="E80" s="33"/>
      <c r="F80" s="5"/>
    </row>
    <row r="81" spans="5:6" ht="11.25">
      <c r="E81" s="33"/>
      <c r="F81" s="5"/>
    </row>
    <row r="82" spans="5:6" ht="11.25">
      <c r="E82" s="33"/>
      <c r="F82" s="5"/>
    </row>
    <row r="83" spans="5:6" ht="11.25">
      <c r="E83" s="33"/>
      <c r="F83" s="5"/>
    </row>
    <row r="84" spans="5:6" ht="11.25">
      <c r="E84" s="33"/>
      <c r="F84" s="5"/>
    </row>
    <row r="85" spans="5:6" ht="11.25">
      <c r="E85" s="19"/>
      <c r="F85" s="5"/>
    </row>
    <row r="86" spans="5:6" ht="11.25">
      <c r="E86" s="19"/>
      <c r="F86" s="5"/>
    </row>
    <row r="87" spans="5:6" ht="11.25">
      <c r="E87" s="19"/>
      <c r="F87" s="5"/>
    </row>
    <row r="88" spans="5:6" ht="11.25">
      <c r="E88" s="19"/>
      <c r="F88" s="5"/>
    </row>
    <row r="89" spans="5:6" ht="11.25">
      <c r="E89" s="19"/>
      <c r="F89" s="5"/>
    </row>
    <row r="90" spans="5:6" ht="11.25">
      <c r="E90" s="19"/>
      <c r="F90" s="5"/>
    </row>
    <row r="91" spans="5:6" ht="11.25">
      <c r="E91" s="19"/>
      <c r="F91" s="5"/>
    </row>
    <row r="92" spans="5:6" ht="11.25">
      <c r="E92" s="33"/>
      <c r="F92" s="5"/>
    </row>
    <row r="93" spans="5:6" ht="11.25">
      <c r="E93" s="33"/>
      <c r="F93" s="5"/>
    </row>
    <row r="94" spans="5:6" ht="11.25">
      <c r="E94" s="33"/>
      <c r="F94" s="5"/>
    </row>
    <row r="95" spans="5:6" ht="11.25">
      <c r="E95" s="47"/>
      <c r="F95" s="5"/>
    </row>
    <row r="96" spans="5:6" ht="11.25">
      <c r="E96" s="33"/>
      <c r="F96" s="5"/>
    </row>
    <row r="97" spans="5:6" ht="11.25">
      <c r="E97" s="33"/>
      <c r="F97" s="5"/>
    </row>
    <row r="98" spans="5:6" ht="11.25">
      <c r="E98" s="33"/>
      <c r="F98" s="5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2017-06-16T17:23:53Z</dcterms:created>
  <dcterms:modified xsi:type="dcterms:W3CDTF">2017-06-16T17:23:58Z</dcterms:modified>
  <cp:category/>
  <cp:version/>
  <cp:contentType/>
  <cp:contentStatus/>
</cp:coreProperties>
</file>