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Bancrédito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<sst xmlns="http://schemas.openxmlformats.org/spreadsheetml/2006/main" count="89" uniqueCount="68">
  <si>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 xml:space="preserve"> CUADRO No. 19-24</t>
  </si>
  <si>
    <t>BANCREDITO</t>
  </si>
  <si>
    <t>ESTADISTICA FINANCIERA.  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</si>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</sst>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201" fontId="2" fillId="0" borderId="16" xfId="46" applyNumberFormat="1" applyFont="1" applyBorder="1" applyAlignment="1">
      <alignment/>
    </xf>
    <xf numFmtId="201" fontId="2" fillId="0" borderId="0" xfId="46" applyNumberFormat="1" applyFont="1" applyBorder="1" applyAlignment="1">
      <alignment/>
    </xf>
    <xf numFmtId="201" fontId="2" fillId="0" borderId="0" xfId="46" applyNumberFormat="1" applyFont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7" xfId="46" applyNumberFormat="1" applyFont="1" applyBorder="1" applyAlignment="1">
      <alignment/>
    </xf>
    <xf numFmtId="201" fontId="3" fillId="0" borderId="16" xfId="46" applyNumberFormat="1" applyFont="1" applyBorder="1" applyAlignment="1">
      <alignment/>
    </xf>
    <xf numFmtId="43" fontId="3" fillId="0" borderId="0" xfId="46" applyFont="1" applyBorder="1" applyAlignment="1">
      <alignment/>
    </xf>
    <xf numFmtId="43" fontId="3" fillId="0" borderId="17" xfId="46" applyFont="1" applyBorder="1" applyAlignment="1">
      <alignment/>
    </xf>
    <xf numFmtId="43" fontId="3" fillId="0" borderId="0" xfId="46" applyFont="1" applyAlignment="1">
      <alignment/>
    </xf>
    <xf numFmtId="201" fontId="3" fillId="0" borderId="10" xfId="46" applyNumberFormat="1" applyFont="1" applyBorder="1" applyAlignment="1">
      <alignment/>
    </xf>
    <xf numFmtId="201" fontId="3" fillId="0" borderId="13" xfId="46" applyNumberFormat="1" applyFont="1" applyBorder="1" applyAlignment="1">
      <alignment/>
    </xf>
    <xf numFmtId="201" fontId="3" fillId="0" borderId="14" xfId="46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8" xfId="0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7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0" fontId="3" fillId="0" borderId="17" xfId="52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0" fontId="3" fillId="0" borderId="13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204" fontId="3" fillId="0" borderId="17" xfId="52" applyNumberFormat="1" applyFont="1" applyBorder="1" applyAlignment="1">
      <alignment/>
    </xf>
    <xf numFmtId="204" fontId="3" fillId="0" borderId="0" xfId="52" applyNumberFormat="1" applyFont="1" applyAlignment="1">
      <alignment/>
    </xf>
    <xf numFmtId="204" fontId="3" fillId="0" borderId="13" xfId="52" applyNumberFormat="1" applyFont="1" applyBorder="1" applyAlignment="1">
      <alignment/>
    </xf>
    <xf numFmtId="204" fontId="3" fillId="0" borderId="10" xfId="52" applyNumberFormat="1" applyFont="1" applyBorder="1" applyAlignment="1">
      <alignment/>
    </xf>
    <xf numFmtId="10" fontId="3" fillId="0" borderId="14" xfId="5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8" sqref="E8"/>
    </sheetView>
  </sheetViews>
  <sheetFormatPr defaultColWidth="11.421875" defaultRowHeight="12.75"/>
  <cols>
    <col min="1" max="1" width="3.57421875" style="3" customWidth="1"/>
    <col min="2" max="2" width="27.7109375" style="3" customWidth="1"/>
    <col min="3" max="3" width="8.140625" style="3" customWidth="1"/>
    <col min="4" max="4" width="8.7109375" style="3" customWidth="1"/>
    <col min="5" max="5" width="7.7109375" style="3" customWidth="1"/>
    <col min="6" max="7" width="7.8515625" style="3" customWidth="1"/>
    <col min="8" max="8" width="8.8515625" style="3" customWidth="1"/>
    <col min="9" max="9" width="7.8515625" style="3" customWidth="1"/>
    <col min="10" max="11" width="7.57421875" style="3" customWidth="1"/>
    <col min="12" max="12" width="7.7109375" style="3" bestFit="1" customWidth="1"/>
    <col min="13" max="13" width="8.140625" style="3" customWidth="1"/>
    <col min="14" max="14" width="7.421875" style="3" customWidth="1"/>
    <col min="15" max="15" width="6.28125" style="3" hidden="1" customWidth="1"/>
    <col min="16" max="16" width="5.8515625" style="3" hidden="1" customWidth="1"/>
    <col min="17" max="18" width="11.421875" style="3" customWidth="1"/>
    <col min="19" max="16384" width="11.421875" style="1" customWidth="1"/>
  </cols>
  <sheetData>
    <row r="1" spans="2:16" ht="11.25">
      <c r="B1" s="58"/>
      <c r="C1" s="58"/>
      <c r="D1" s="58"/>
      <c r="E1" s="58"/>
      <c r="F1" s="58"/>
      <c r="G1" s="58"/>
      <c r="H1" s="58" t="s">
        <v>0</v>
      </c>
      <c r="I1" s="58"/>
      <c r="J1" s="58"/>
      <c r="K1" s="58"/>
      <c r="L1" s="58"/>
      <c r="M1" s="58"/>
      <c r="N1" s="58"/>
      <c r="O1" s="58"/>
      <c r="P1" s="58"/>
    </row>
    <row r="2" spans="2:16" ht="11.25">
      <c r="B2" s="58"/>
      <c r="C2" s="58"/>
      <c r="D2" s="58"/>
      <c r="E2" s="58"/>
      <c r="F2" s="58"/>
      <c r="G2" s="58"/>
      <c r="H2" s="58" t="s">
        <v>1</v>
      </c>
      <c r="I2" s="58"/>
      <c r="J2" s="58"/>
      <c r="K2" s="58"/>
      <c r="L2" s="58"/>
      <c r="M2" s="58"/>
      <c r="N2" s="58"/>
      <c r="O2" s="58"/>
      <c r="P2" s="58"/>
    </row>
    <row r="3" spans="2:16" ht="11.25">
      <c r="B3" s="58"/>
      <c r="C3" s="58"/>
      <c r="D3" s="58"/>
      <c r="E3" s="58"/>
      <c r="F3" s="58"/>
      <c r="G3" s="58"/>
      <c r="H3" s="58" t="s">
        <v>2</v>
      </c>
      <c r="I3" s="58"/>
      <c r="J3" s="58"/>
      <c r="K3" s="58"/>
      <c r="L3" s="58"/>
      <c r="M3" s="58"/>
      <c r="N3" s="58"/>
      <c r="O3" s="58"/>
      <c r="P3" s="58"/>
    </row>
    <row r="4" spans="1:16" ht="11.25">
      <c r="A4" s="1"/>
      <c r="B4" s="57"/>
      <c r="C4" s="57"/>
      <c r="D4" s="57"/>
      <c r="E4" s="57"/>
      <c r="F4" s="57"/>
      <c r="G4" s="57"/>
      <c r="H4" s="57" t="s">
        <v>3</v>
      </c>
      <c r="I4" s="57"/>
      <c r="J4" s="57"/>
      <c r="K4" s="57"/>
      <c r="L4" s="57"/>
      <c r="M4" s="57"/>
      <c r="N4" s="57"/>
      <c r="O4" s="57"/>
      <c r="P4" s="57"/>
    </row>
    <row r="5" spans="1:16" ht="11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1.2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4"/>
      <c r="P6" s="4"/>
    </row>
    <row r="7" spans="1:16" ht="12.75" customHeight="1">
      <c r="A7" s="6"/>
      <c r="B7" s="6"/>
      <c r="C7" s="60">
        <v>2002</v>
      </c>
      <c r="D7" s="60"/>
      <c r="E7" s="60"/>
      <c r="F7" s="61"/>
      <c r="G7" s="60">
        <v>2001</v>
      </c>
      <c r="H7" s="60"/>
      <c r="I7" s="60"/>
      <c r="J7" s="60"/>
      <c r="K7" s="59">
        <v>2000</v>
      </c>
      <c r="L7" s="60"/>
      <c r="M7" s="60"/>
      <c r="N7" s="60"/>
      <c r="O7" s="60" t="s">
        <v>4</v>
      </c>
      <c r="P7" s="60"/>
    </row>
    <row r="8" spans="1:16" ht="11.25">
      <c r="A8" s="7"/>
      <c r="B8" s="7"/>
      <c r="C8" s="8" t="s">
        <v>5</v>
      </c>
      <c r="D8" s="8" t="s">
        <v>6</v>
      </c>
      <c r="E8" s="7" t="s">
        <v>7</v>
      </c>
      <c r="F8" s="9" t="s">
        <v>8</v>
      </c>
      <c r="G8" s="8" t="s">
        <v>5</v>
      </c>
      <c r="H8" s="8" t="s">
        <v>6</v>
      </c>
      <c r="I8" s="7" t="s">
        <v>7</v>
      </c>
      <c r="J8" s="7" t="s">
        <v>8</v>
      </c>
      <c r="K8" s="10" t="s">
        <v>5</v>
      </c>
      <c r="L8" s="7" t="s">
        <v>6</v>
      </c>
      <c r="M8" s="7" t="s">
        <v>7</v>
      </c>
      <c r="N8" s="8" t="s">
        <v>8</v>
      </c>
      <c r="O8" s="11" t="s">
        <v>9</v>
      </c>
      <c r="P8" s="11" t="s">
        <v>10</v>
      </c>
    </row>
    <row r="9" spans="1:16" ht="11.25">
      <c r="A9" s="12" t="s">
        <v>11</v>
      </c>
      <c r="B9" s="12"/>
      <c r="C9" s="12"/>
      <c r="D9" s="12"/>
      <c r="E9" s="13"/>
      <c r="F9" s="14"/>
      <c r="G9" s="12"/>
      <c r="H9" s="12"/>
      <c r="I9" s="12"/>
      <c r="J9" s="12"/>
      <c r="K9" s="15"/>
      <c r="L9" s="16"/>
      <c r="M9" s="16"/>
      <c r="N9" s="16"/>
      <c r="O9" s="17"/>
      <c r="P9" s="17"/>
    </row>
    <row r="10" spans="1:16" ht="11.25">
      <c r="A10" s="3" t="s">
        <v>12</v>
      </c>
      <c r="C10" s="18">
        <v>294238</v>
      </c>
      <c r="D10" s="18">
        <v>167946</v>
      </c>
      <c r="E10" s="19">
        <v>148639</v>
      </c>
      <c r="F10" s="20">
        <v>143930</v>
      </c>
      <c r="G10" s="18">
        <v>151872</v>
      </c>
      <c r="H10" s="18">
        <v>153887</v>
      </c>
      <c r="I10" s="18">
        <v>163580</v>
      </c>
      <c r="J10" s="18">
        <v>157726</v>
      </c>
      <c r="K10" s="21">
        <v>151984</v>
      </c>
      <c r="L10" s="19">
        <v>179255</v>
      </c>
      <c r="M10" s="19">
        <v>147906</v>
      </c>
      <c r="N10" s="19">
        <v>137526</v>
      </c>
      <c r="O10" s="18">
        <v>123404</v>
      </c>
      <c r="P10" s="18">
        <v>78624</v>
      </c>
    </row>
    <row r="11" spans="1:16" ht="11.25">
      <c r="A11" s="3" t="s">
        <v>13</v>
      </c>
      <c r="C11" s="18">
        <v>27128</v>
      </c>
      <c r="D11" s="18">
        <v>58910</v>
      </c>
      <c r="E11" s="19">
        <v>34207</v>
      </c>
      <c r="F11" s="20">
        <v>35053</v>
      </c>
      <c r="G11" s="18">
        <v>25846</v>
      </c>
      <c r="H11" s="18">
        <v>23257</v>
      </c>
      <c r="I11" s="18">
        <v>31524</v>
      </c>
      <c r="J11" s="18">
        <v>17441</v>
      </c>
      <c r="K11" s="21">
        <v>7294</v>
      </c>
      <c r="L11" s="19">
        <v>25973</v>
      </c>
      <c r="M11" s="19">
        <v>12071</v>
      </c>
      <c r="N11" s="19">
        <v>20627</v>
      </c>
      <c r="O11" s="18">
        <v>26306</v>
      </c>
      <c r="P11" s="18">
        <v>10084</v>
      </c>
    </row>
    <row r="12" spans="1:16" ht="11.25">
      <c r="A12" s="3" t="s">
        <v>14</v>
      </c>
      <c r="C12" s="19">
        <f aca="true" t="shared" si="0" ref="C12:P12">C13+C14</f>
        <v>157555</v>
      </c>
      <c r="D12" s="19">
        <f t="shared" si="0"/>
        <v>103943</v>
      </c>
      <c r="E12" s="19">
        <f t="shared" si="0"/>
        <v>109148</v>
      </c>
      <c r="F12" s="20">
        <f t="shared" si="0"/>
        <v>103657</v>
      </c>
      <c r="G12" s="18">
        <f t="shared" si="0"/>
        <v>120931</v>
      </c>
      <c r="H12" s="18">
        <f t="shared" si="0"/>
        <v>121413</v>
      </c>
      <c r="I12" s="18">
        <f t="shared" si="0"/>
        <v>122767</v>
      </c>
      <c r="J12" s="18">
        <f t="shared" si="0"/>
        <v>131846</v>
      </c>
      <c r="K12" s="21">
        <f t="shared" si="0"/>
        <v>136632</v>
      </c>
      <c r="L12" s="19">
        <f t="shared" si="0"/>
        <v>140753</v>
      </c>
      <c r="M12" s="19">
        <f t="shared" si="0"/>
        <v>125194</v>
      </c>
      <c r="N12" s="19">
        <f t="shared" si="0"/>
        <v>108386</v>
      </c>
      <c r="O12" s="18">
        <f t="shared" si="0"/>
        <v>92389</v>
      </c>
      <c r="P12" s="18">
        <f t="shared" si="0"/>
        <v>63182</v>
      </c>
    </row>
    <row r="13" spans="2:16" ht="11.25">
      <c r="B13" s="3" t="s">
        <v>15</v>
      </c>
      <c r="C13" s="19">
        <v>0</v>
      </c>
      <c r="D13" s="22">
        <v>0</v>
      </c>
      <c r="E13" s="22">
        <v>0</v>
      </c>
      <c r="F13" s="23">
        <v>0</v>
      </c>
      <c r="G13" s="24">
        <v>0</v>
      </c>
      <c r="H13" s="24">
        <v>0</v>
      </c>
      <c r="I13" s="18">
        <v>0</v>
      </c>
      <c r="J13" s="18">
        <v>0</v>
      </c>
      <c r="K13" s="21"/>
      <c r="L13" s="19"/>
      <c r="M13" s="19">
        <v>0</v>
      </c>
      <c r="N13" s="19">
        <v>0</v>
      </c>
      <c r="O13" s="18">
        <v>0</v>
      </c>
      <c r="P13" s="18">
        <v>0</v>
      </c>
    </row>
    <row r="14" spans="2:16" ht="11.25">
      <c r="B14" s="3" t="s">
        <v>16</v>
      </c>
      <c r="C14" s="18">
        <v>157555</v>
      </c>
      <c r="D14" s="18">
        <v>103943</v>
      </c>
      <c r="E14" s="19">
        <v>109148</v>
      </c>
      <c r="F14" s="20">
        <v>103657</v>
      </c>
      <c r="G14" s="18">
        <v>120931</v>
      </c>
      <c r="H14" s="18">
        <v>121413</v>
      </c>
      <c r="I14" s="18">
        <v>122767</v>
      </c>
      <c r="J14" s="18">
        <v>131846</v>
      </c>
      <c r="K14" s="21">
        <v>136632</v>
      </c>
      <c r="L14" s="19">
        <v>140753</v>
      </c>
      <c r="M14" s="19">
        <v>125194</v>
      </c>
      <c r="N14" s="19">
        <v>108386</v>
      </c>
      <c r="O14" s="18">
        <v>92389</v>
      </c>
      <c r="P14" s="18">
        <v>63182</v>
      </c>
    </row>
    <row r="15" spans="1:16" ht="11.25">
      <c r="A15" s="3" t="s">
        <v>17</v>
      </c>
      <c r="C15" s="18">
        <v>105038</v>
      </c>
      <c r="D15" s="18">
        <v>2017</v>
      </c>
      <c r="E15" s="19">
        <v>2113</v>
      </c>
      <c r="F15" s="20">
        <v>2113</v>
      </c>
      <c r="G15" s="3">
        <v>113</v>
      </c>
      <c r="H15" s="18">
        <v>113</v>
      </c>
      <c r="I15" s="18">
        <v>113</v>
      </c>
      <c r="J15" s="18">
        <v>113</v>
      </c>
      <c r="K15" s="21">
        <v>113</v>
      </c>
      <c r="L15" s="19">
        <v>866</v>
      </c>
      <c r="M15" s="19">
        <v>113</v>
      </c>
      <c r="N15" s="19">
        <v>125</v>
      </c>
      <c r="O15" s="18">
        <v>125</v>
      </c>
      <c r="P15" s="18">
        <v>2684</v>
      </c>
    </row>
    <row r="16" spans="1:16" ht="11.25">
      <c r="A16" s="3" t="s">
        <v>18</v>
      </c>
      <c r="C16" s="19">
        <f aca="true" t="shared" si="1" ref="C16:P16">C17+C21</f>
        <v>196706</v>
      </c>
      <c r="D16" s="19">
        <f t="shared" si="1"/>
        <v>98621</v>
      </c>
      <c r="E16" s="19">
        <f t="shared" si="1"/>
        <v>71200</v>
      </c>
      <c r="F16" s="20">
        <f t="shared" si="1"/>
        <v>69683</v>
      </c>
      <c r="G16" s="18">
        <f t="shared" si="1"/>
        <v>70144</v>
      </c>
      <c r="H16" s="18">
        <f t="shared" si="1"/>
        <v>54439</v>
      </c>
      <c r="I16" s="18">
        <f t="shared" si="1"/>
        <v>59809</v>
      </c>
      <c r="J16" s="18">
        <f t="shared" si="1"/>
        <v>46043</v>
      </c>
      <c r="K16" s="21">
        <f t="shared" si="1"/>
        <v>41827</v>
      </c>
      <c r="L16" s="19">
        <f t="shared" si="1"/>
        <v>60536</v>
      </c>
      <c r="M16" s="19">
        <f t="shared" si="1"/>
        <v>59727</v>
      </c>
      <c r="N16" s="19">
        <f t="shared" si="1"/>
        <v>54982</v>
      </c>
      <c r="O16" s="18">
        <f t="shared" si="1"/>
        <v>44453</v>
      </c>
      <c r="P16" s="18">
        <f t="shared" si="1"/>
        <v>34208</v>
      </c>
    </row>
    <row r="17" spans="2:16" ht="11.25">
      <c r="B17" s="3" t="s">
        <v>15</v>
      </c>
      <c r="C17" s="19">
        <f aca="true" t="shared" si="2" ref="C17:P17">SUM(C18:C20)</f>
        <v>0</v>
      </c>
      <c r="D17" s="19">
        <f t="shared" si="2"/>
        <v>0</v>
      </c>
      <c r="E17" s="19">
        <f t="shared" si="2"/>
        <v>0</v>
      </c>
      <c r="F17" s="20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21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8">
        <f t="shared" si="2"/>
        <v>0</v>
      </c>
      <c r="P17" s="18">
        <f t="shared" si="2"/>
        <v>0</v>
      </c>
    </row>
    <row r="18" spans="2:16" ht="11.25">
      <c r="B18" s="3" t="s">
        <v>19</v>
      </c>
      <c r="C18" s="19">
        <v>0</v>
      </c>
      <c r="D18" s="22">
        <v>0</v>
      </c>
      <c r="E18" s="22">
        <v>0</v>
      </c>
      <c r="F18" s="23">
        <v>0</v>
      </c>
      <c r="G18" s="24">
        <v>0</v>
      </c>
      <c r="H18" s="24">
        <v>0</v>
      </c>
      <c r="I18" s="18">
        <v>0</v>
      </c>
      <c r="J18" s="18">
        <v>0</v>
      </c>
      <c r="K18" s="21">
        <v>0</v>
      </c>
      <c r="L18" s="19">
        <v>0</v>
      </c>
      <c r="M18" s="19">
        <v>0</v>
      </c>
      <c r="N18" s="19">
        <v>0</v>
      </c>
      <c r="O18" s="18">
        <v>0</v>
      </c>
      <c r="P18" s="18">
        <v>0</v>
      </c>
    </row>
    <row r="19" spans="2:16" ht="11.25">
      <c r="B19" s="3" t="s">
        <v>20</v>
      </c>
      <c r="C19" s="19">
        <v>0</v>
      </c>
      <c r="D19" s="22">
        <v>0</v>
      </c>
      <c r="E19" s="22">
        <v>0</v>
      </c>
      <c r="F19" s="23">
        <v>0</v>
      </c>
      <c r="G19" s="24">
        <v>0</v>
      </c>
      <c r="H19" s="24">
        <v>0</v>
      </c>
      <c r="I19" s="18">
        <v>0</v>
      </c>
      <c r="J19" s="18">
        <v>0</v>
      </c>
      <c r="K19" s="21">
        <v>0</v>
      </c>
      <c r="L19" s="19">
        <v>0</v>
      </c>
      <c r="M19" s="19">
        <v>0</v>
      </c>
      <c r="N19" s="19">
        <v>0</v>
      </c>
      <c r="O19" s="18">
        <v>0</v>
      </c>
      <c r="P19" s="18">
        <v>0</v>
      </c>
    </row>
    <row r="20" spans="2:16" ht="11.25">
      <c r="B20" s="3" t="s">
        <v>21</v>
      </c>
      <c r="C20" s="19">
        <v>0</v>
      </c>
      <c r="D20" s="22">
        <v>0</v>
      </c>
      <c r="E20" s="22">
        <v>0</v>
      </c>
      <c r="F20" s="23">
        <v>0</v>
      </c>
      <c r="G20" s="24">
        <v>0</v>
      </c>
      <c r="H20" s="24">
        <v>0</v>
      </c>
      <c r="I20" s="18"/>
      <c r="J20" s="18">
        <v>0</v>
      </c>
      <c r="K20" s="21">
        <v>0</v>
      </c>
      <c r="L20" s="19">
        <v>0</v>
      </c>
      <c r="M20" s="19">
        <v>0</v>
      </c>
      <c r="N20" s="19">
        <v>0</v>
      </c>
      <c r="O20" s="18">
        <v>0</v>
      </c>
      <c r="P20" s="18">
        <v>0</v>
      </c>
    </row>
    <row r="21" spans="2:16" ht="11.25">
      <c r="B21" s="3" t="s">
        <v>16</v>
      </c>
      <c r="C21" s="19">
        <f>SUM(C22:C24)</f>
        <v>196706</v>
      </c>
      <c r="D21" s="19">
        <f>SUM(D22:D24)</f>
        <v>98621</v>
      </c>
      <c r="E21" s="19">
        <f>SUM(E22:E24)</f>
        <v>71200</v>
      </c>
      <c r="F21" s="20">
        <f>SUM(F22:F24)</f>
        <v>69683</v>
      </c>
      <c r="G21" s="19">
        <f>SUM(G22:G24)</f>
        <v>70144</v>
      </c>
      <c r="H21" s="18">
        <f aca="true" t="shared" si="3" ref="H21:P21">SUM(H23:H24)</f>
        <v>54439</v>
      </c>
      <c r="I21" s="18">
        <f t="shared" si="3"/>
        <v>59809</v>
      </c>
      <c r="J21" s="18">
        <f t="shared" si="3"/>
        <v>46043</v>
      </c>
      <c r="K21" s="21">
        <f t="shared" si="3"/>
        <v>41827</v>
      </c>
      <c r="L21" s="19">
        <f t="shared" si="3"/>
        <v>60536</v>
      </c>
      <c r="M21" s="19">
        <f t="shared" si="3"/>
        <v>59727</v>
      </c>
      <c r="N21" s="19">
        <f t="shared" si="3"/>
        <v>54982</v>
      </c>
      <c r="O21" s="18">
        <f t="shared" si="3"/>
        <v>44453</v>
      </c>
      <c r="P21" s="18">
        <f t="shared" si="3"/>
        <v>34208</v>
      </c>
    </row>
    <row r="22" spans="2:16" ht="11.25">
      <c r="B22" s="3" t="s">
        <v>19</v>
      </c>
      <c r="C22" s="19">
        <v>0</v>
      </c>
      <c r="D22" s="19">
        <v>0</v>
      </c>
      <c r="E22" s="19">
        <v>0</v>
      </c>
      <c r="F22" s="20">
        <v>0</v>
      </c>
      <c r="G22" s="18"/>
      <c r="H22" s="18"/>
      <c r="I22" s="18"/>
      <c r="J22" s="18"/>
      <c r="K22" s="21"/>
      <c r="L22" s="19"/>
      <c r="M22" s="19"/>
      <c r="N22" s="19"/>
      <c r="O22" s="18"/>
      <c r="P22" s="18"/>
    </row>
    <row r="23" spans="2:16" ht="11.25">
      <c r="B23" s="3" t="s">
        <v>20</v>
      </c>
      <c r="C23" s="18">
        <v>153173</v>
      </c>
      <c r="D23" s="18">
        <v>52228</v>
      </c>
      <c r="E23" s="19">
        <v>58861</v>
      </c>
      <c r="F23" s="20">
        <v>60154</v>
      </c>
      <c r="G23" s="18">
        <v>61157</v>
      </c>
      <c r="H23" s="18">
        <v>45109</v>
      </c>
      <c r="I23" s="18">
        <v>49517</v>
      </c>
      <c r="J23" s="18">
        <v>36030</v>
      </c>
      <c r="K23" s="21">
        <v>27130</v>
      </c>
      <c r="L23" s="19">
        <v>51157</v>
      </c>
      <c r="M23" s="19">
        <v>48484</v>
      </c>
      <c r="N23" s="19">
        <v>50925</v>
      </c>
      <c r="O23" s="18">
        <v>34445</v>
      </c>
      <c r="P23" s="18">
        <v>23462</v>
      </c>
    </row>
    <row r="24" spans="2:16" ht="11.25">
      <c r="B24" s="3" t="s">
        <v>21</v>
      </c>
      <c r="C24" s="18">
        <v>43533</v>
      </c>
      <c r="D24" s="18">
        <v>46393</v>
      </c>
      <c r="E24" s="19">
        <v>12339</v>
      </c>
      <c r="F24" s="20">
        <v>9529</v>
      </c>
      <c r="G24" s="18">
        <f>6987+2000</f>
        <v>8987</v>
      </c>
      <c r="H24" s="18">
        <f>6788+2542</f>
        <v>9330</v>
      </c>
      <c r="I24" s="18">
        <v>10292</v>
      </c>
      <c r="J24" s="18">
        <v>10013</v>
      </c>
      <c r="K24" s="21">
        <v>14697</v>
      </c>
      <c r="L24" s="19">
        <v>9379</v>
      </c>
      <c r="M24" s="19">
        <v>11243</v>
      </c>
      <c r="N24" s="19">
        <v>4057</v>
      </c>
      <c r="O24" s="18">
        <v>10008</v>
      </c>
      <c r="P24" s="18">
        <v>10746</v>
      </c>
    </row>
    <row r="25" spans="1:16" ht="11.25">
      <c r="A25" s="4" t="s">
        <v>22</v>
      </c>
      <c r="B25" s="4"/>
      <c r="C25" s="25">
        <v>21883</v>
      </c>
      <c r="D25" s="25">
        <v>17076</v>
      </c>
      <c r="E25" s="25">
        <v>17163</v>
      </c>
      <c r="F25" s="26">
        <v>17010</v>
      </c>
      <c r="G25" s="25">
        <v>14875</v>
      </c>
      <c r="H25" s="25">
        <v>14985</v>
      </c>
      <c r="I25" s="25">
        <v>14816</v>
      </c>
      <c r="J25" s="25">
        <v>14676</v>
      </c>
      <c r="K25" s="27">
        <v>14269</v>
      </c>
      <c r="L25" s="25">
        <v>13830</v>
      </c>
      <c r="M25" s="25">
        <v>13293</v>
      </c>
      <c r="N25" s="25">
        <v>10507</v>
      </c>
      <c r="O25" s="25">
        <v>4606</v>
      </c>
      <c r="P25" s="25">
        <v>2928</v>
      </c>
    </row>
    <row r="26" spans="1:16" ht="11.25">
      <c r="A26" s="12" t="s">
        <v>23</v>
      </c>
      <c r="C26" s="6"/>
      <c r="E26" s="19"/>
      <c r="F26" s="28"/>
      <c r="K26" s="21"/>
      <c r="L26" s="19"/>
      <c r="M26" s="19"/>
      <c r="N26" s="19"/>
      <c r="O26" s="18"/>
      <c r="P26" s="18"/>
    </row>
    <row r="27" spans="1:16" ht="11.25">
      <c r="A27" s="3" t="s">
        <v>12</v>
      </c>
      <c r="C27" s="19">
        <f aca="true" t="shared" si="4" ref="C27:I27">(C10+G10)/2</f>
        <v>223055</v>
      </c>
      <c r="D27" s="19">
        <f t="shared" si="4"/>
        <v>160916.5</v>
      </c>
      <c r="E27" s="19">
        <f t="shared" si="4"/>
        <v>156109.5</v>
      </c>
      <c r="F27" s="20">
        <f t="shared" si="4"/>
        <v>150828</v>
      </c>
      <c r="G27" s="18">
        <f t="shared" si="4"/>
        <v>151928</v>
      </c>
      <c r="H27" s="18">
        <f t="shared" si="4"/>
        <v>166571</v>
      </c>
      <c r="I27" s="18">
        <f t="shared" si="4"/>
        <v>155743</v>
      </c>
      <c r="J27" s="18">
        <f>+(J10+N10)/2</f>
        <v>147626</v>
      </c>
      <c r="K27" s="21">
        <f>+(K10+O10)/2</f>
        <v>137694</v>
      </c>
      <c r="L27" s="19">
        <f>+(114347+L10)/2</f>
        <v>146801</v>
      </c>
      <c r="M27" s="19">
        <f>+(109883+M10)/2</f>
        <v>128894.5</v>
      </c>
      <c r="N27" s="19">
        <f>+(99659+N10)/2</f>
        <v>118592.5</v>
      </c>
      <c r="O27" s="18">
        <f>+(O10+P10)/2</f>
        <v>101014</v>
      </c>
      <c r="P27" s="18">
        <f>+(37133+P10)/2</f>
        <v>57878.5</v>
      </c>
    </row>
    <row r="28" spans="1:16" ht="11.25">
      <c r="A28" s="3" t="s">
        <v>24</v>
      </c>
      <c r="C28" s="19">
        <f aca="true" t="shared" si="5" ref="C28:P28">C29+C30</f>
        <v>191818.5</v>
      </c>
      <c r="D28" s="19">
        <f t="shared" si="5"/>
        <v>113743</v>
      </c>
      <c r="E28" s="19">
        <f t="shared" si="5"/>
        <v>117070.5</v>
      </c>
      <c r="F28" s="20">
        <f t="shared" si="5"/>
        <v>118864.5</v>
      </c>
      <c r="G28" s="18">
        <f t="shared" si="5"/>
        <v>128894.5</v>
      </c>
      <c r="H28" s="18">
        <f t="shared" si="5"/>
        <v>131572.5</v>
      </c>
      <c r="I28" s="18">
        <f t="shared" si="5"/>
        <v>124093.5</v>
      </c>
      <c r="J28" s="18">
        <f t="shared" si="5"/>
        <v>120235</v>
      </c>
      <c r="K28" s="21">
        <f t="shared" si="5"/>
        <v>114629.5</v>
      </c>
      <c r="L28" s="19">
        <f t="shared" si="5"/>
        <v>113109</v>
      </c>
      <c r="M28" s="19">
        <f t="shared" si="5"/>
        <v>107283</v>
      </c>
      <c r="N28" s="19">
        <f t="shared" si="5"/>
        <v>90613.5</v>
      </c>
      <c r="O28" s="18">
        <f t="shared" si="5"/>
        <v>79190</v>
      </c>
      <c r="P28" s="18">
        <f t="shared" si="5"/>
        <v>43514.5</v>
      </c>
    </row>
    <row r="29" spans="2:16" ht="11.25">
      <c r="B29" s="3" t="s">
        <v>14</v>
      </c>
      <c r="C29" s="19">
        <f aca="true" t="shared" si="6" ref="C29:I29">(C12+G12)/2</f>
        <v>139243</v>
      </c>
      <c r="D29" s="19">
        <f t="shared" si="6"/>
        <v>112678</v>
      </c>
      <c r="E29" s="19">
        <f t="shared" si="6"/>
        <v>115957.5</v>
      </c>
      <c r="F29" s="20">
        <f t="shared" si="6"/>
        <v>117751.5</v>
      </c>
      <c r="G29" s="18">
        <f t="shared" si="6"/>
        <v>128781.5</v>
      </c>
      <c r="H29" s="18">
        <f t="shared" si="6"/>
        <v>131083</v>
      </c>
      <c r="I29" s="18">
        <f t="shared" si="6"/>
        <v>123980.5</v>
      </c>
      <c r="J29" s="18">
        <f>+(J12+N12)/2</f>
        <v>120116</v>
      </c>
      <c r="K29" s="21">
        <f>+(K12+O12)/2</f>
        <v>114510.5</v>
      </c>
      <c r="L29" s="19">
        <f>+(84477+L12)/2</f>
        <v>112615</v>
      </c>
      <c r="M29" s="19">
        <f>+(86576+M12)/2</f>
        <v>105885</v>
      </c>
      <c r="N29" s="19">
        <f>+(70032+N12)/2</f>
        <v>89209</v>
      </c>
      <c r="O29" s="18">
        <f>+(O12+P12)/2</f>
        <v>77785.5</v>
      </c>
      <c r="P29" s="18">
        <f>+(20794+P12)/2</f>
        <v>41988</v>
      </c>
    </row>
    <row r="30" spans="2:16" ht="11.25">
      <c r="B30" s="3" t="s">
        <v>17</v>
      </c>
      <c r="C30" s="19">
        <f aca="true" t="shared" si="7" ref="C30:I30">(C15+G15)/2</f>
        <v>52575.5</v>
      </c>
      <c r="D30" s="19">
        <f t="shared" si="7"/>
        <v>1065</v>
      </c>
      <c r="E30" s="19">
        <f t="shared" si="7"/>
        <v>1113</v>
      </c>
      <c r="F30" s="20">
        <f t="shared" si="7"/>
        <v>1113</v>
      </c>
      <c r="G30" s="18">
        <f t="shared" si="7"/>
        <v>113</v>
      </c>
      <c r="H30" s="18">
        <f t="shared" si="7"/>
        <v>489.5</v>
      </c>
      <c r="I30" s="18">
        <f t="shared" si="7"/>
        <v>113</v>
      </c>
      <c r="J30" s="18">
        <f>+(J15+N15)/2</f>
        <v>119</v>
      </c>
      <c r="K30" s="21">
        <f>+(K15+O15)/2</f>
        <v>119</v>
      </c>
      <c r="L30" s="19">
        <f>+(122+L15)/2</f>
        <v>494</v>
      </c>
      <c r="M30" s="19">
        <f>+(2683+M15)/2</f>
        <v>1398</v>
      </c>
      <c r="N30" s="19">
        <f>+(2684+N15)/2</f>
        <v>1404.5</v>
      </c>
      <c r="O30" s="18">
        <f>+(O15+P15)/2</f>
        <v>1404.5</v>
      </c>
      <c r="P30" s="18">
        <f>+(369+P15)/2</f>
        <v>1526.5</v>
      </c>
    </row>
    <row r="31" spans="1:16" ht="11.25">
      <c r="A31" s="4" t="s">
        <v>22</v>
      </c>
      <c r="B31" s="4"/>
      <c r="C31" s="25">
        <f aca="true" t="shared" si="8" ref="C31:I31">(C25+G25)/2</f>
        <v>18379</v>
      </c>
      <c r="D31" s="19">
        <f t="shared" si="8"/>
        <v>16030.5</v>
      </c>
      <c r="E31" s="25">
        <f t="shared" si="8"/>
        <v>15989.5</v>
      </c>
      <c r="F31" s="26">
        <f t="shared" si="8"/>
        <v>15843</v>
      </c>
      <c r="G31" s="25">
        <f t="shared" si="8"/>
        <v>14572</v>
      </c>
      <c r="H31" s="25">
        <f t="shared" si="8"/>
        <v>14407.5</v>
      </c>
      <c r="I31" s="25">
        <f t="shared" si="8"/>
        <v>14054.5</v>
      </c>
      <c r="J31" s="25">
        <f>+(J25+N25)/2</f>
        <v>12591.5</v>
      </c>
      <c r="K31" s="27">
        <f>+(K25+O25)/2</f>
        <v>9437.5</v>
      </c>
      <c r="L31" s="25">
        <f>+(4038+L25)/2</f>
        <v>8934</v>
      </c>
      <c r="M31" s="25">
        <f>+(3614+M25)/2</f>
        <v>8453.5</v>
      </c>
      <c r="N31" s="25">
        <f>+(3137+N25)/2</f>
        <v>6822</v>
      </c>
      <c r="O31" s="25">
        <f>+(O25+P25)/2</f>
        <v>3767</v>
      </c>
      <c r="P31" s="25">
        <f>+(3022+P25)/2</f>
        <v>2975</v>
      </c>
    </row>
    <row r="32" spans="1:14" ht="11.25">
      <c r="A32" s="12" t="s">
        <v>25</v>
      </c>
      <c r="D32" s="6"/>
      <c r="E32" s="19"/>
      <c r="F32" s="28"/>
      <c r="K32" s="29"/>
      <c r="L32" s="5"/>
      <c r="M32" s="5"/>
      <c r="N32" s="5"/>
    </row>
    <row r="33" spans="1:16" ht="11.25">
      <c r="A33" s="3" t="s">
        <v>26</v>
      </c>
      <c r="C33" s="18">
        <v>13368</v>
      </c>
      <c r="D33" s="19">
        <v>9785</v>
      </c>
      <c r="E33" s="19">
        <v>6334</v>
      </c>
      <c r="F33" s="20">
        <v>3085</v>
      </c>
      <c r="G33" s="18">
        <v>15545</v>
      </c>
      <c r="H33" s="18">
        <v>11652</v>
      </c>
      <c r="I33" s="18">
        <v>7805</v>
      </c>
      <c r="J33" s="18">
        <v>4001</v>
      </c>
      <c r="K33" s="21">
        <v>15006</v>
      </c>
      <c r="L33" s="19">
        <v>10764</v>
      </c>
      <c r="M33" s="19">
        <v>6626</v>
      </c>
      <c r="N33" s="19">
        <v>3146</v>
      </c>
      <c r="O33" s="18">
        <v>8893</v>
      </c>
      <c r="P33" s="18">
        <v>3766</v>
      </c>
    </row>
    <row r="34" spans="1:16" ht="11.25">
      <c r="A34" s="3" t="s">
        <v>27</v>
      </c>
      <c r="C34" s="18">
        <v>11021</v>
      </c>
      <c r="D34" s="19">
        <v>7886</v>
      </c>
      <c r="E34" s="19">
        <v>5185</v>
      </c>
      <c r="F34" s="20">
        <v>2595</v>
      </c>
      <c r="G34" s="18">
        <v>11996</v>
      </c>
      <c r="H34" s="18">
        <v>8945</v>
      </c>
      <c r="I34" s="18">
        <v>5927</v>
      </c>
      <c r="J34" s="18">
        <v>3080</v>
      </c>
      <c r="K34" s="21">
        <v>12219</v>
      </c>
      <c r="L34" s="19">
        <v>8705</v>
      </c>
      <c r="M34" s="19">
        <v>5232</v>
      </c>
      <c r="N34" s="19">
        <v>2546</v>
      </c>
      <c r="O34" s="18">
        <v>7476</v>
      </c>
      <c r="P34" s="18">
        <v>3328</v>
      </c>
    </row>
    <row r="35" spans="1:16" ht="11.25">
      <c r="A35" s="3" t="s">
        <v>28</v>
      </c>
      <c r="C35" s="18">
        <f>+C33-C34</f>
        <v>2347</v>
      </c>
      <c r="D35" s="19">
        <f>+D33-D34</f>
        <v>1899</v>
      </c>
      <c r="E35" s="19">
        <f>+E33-E34</f>
        <v>1149</v>
      </c>
      <c r="F35" s="20">
        <f>+F33-F34</f>
        <v>490</v>
      </c>
      <c r="G35" s="18">
        <f>+G33-G34</f>
        <v>3549</v>
      </c>
      <c r="H35" s="18">
        <f aca="true" t="shared" si="9" ref="H35:P35">H33-H34</f>
        <v>2707</v>
      </c>
      <c r="I35" s="18">
        <f t="shared" si="9"/>
        <v>1878</v>
      </c>
      <c r="J35" s="18">
        <f t="shared" si="9"/>
        <v>921</v>
      </c>
      <c r="K35" s="21">
        <f t="shared" si="9"/>
        <v>2787</v>
      </c>
      <c r="L35" s="19">
        <f t="shared" si="9"/>
        <v>2059</v>
      </c>
      <c r="M35" s="19">
        <f t="shared" si="9"/>
        <v>1394</v>
      </c>
      <c r="N35" s="19">
        <f t="shared" si="9"/>
        <v>600</v>
      </c>
      <c r="O35" s="18">
        <f t="shared" si="9"/>
        <v>1417</v>
      </c>
      <c r="P35" s="18">
        <f t="shared" si="9"/>
        <v>438</v>
      </c>
    </row>
    <row r="36" spans="1:16" ht="11.25">
      <c r="A36" s="3" t="s">
        <v>29</v>
      </c>
      <c r="C36" s="18">
        <v>664</v>
      </c>
      <c r="D36" s="19">
        <v>411</v>
      </c>
      <c r="E36" s="19">
        <v>311</v>
      </c>
      <c r="F36" s="20">
        <v>176</v>
      </c>
      <c r="G36" s="18">
        <v>686</v>
      </c>
      <c r="H36" s="18">
        <v>516</v>
      </c>
      <c r="I36" s="18">
        <v>345</v>
      </c>
      <c r="J36" s="18">
        <v>158</v>
      </c>
      <c r="K36" s="21">
        <v>1014</v>
      </c>
      <c r="L36" s="19">
        <v>758</v>
      </c>
      <c r="M36" s="19">
        <v>517</v>
      </c>
      <c r="N36" s="19">
        <v>264</v>
      </c>
      <c r="O36" s="18">
        <v>812</v>
      </c>
      <c r="P36" s="18">
        <v>614</v>
      </c>
    </row>
    <row r="37" spans="1:16" ht="11.25">
      <c r="A37" s="3" t="s">
        <v>30</v>
      </c>
      <c r="C37" s="18">
        <f>+C36+C35</f>
        <v>3011</v>
      </c>
      <c r="D37" s="19">
        <f>+D36+D35</f>
        <v>2310</v>
      </c>
      <c r="E37" s="19">
        <f>+E36+E35</f>
        <v>1460</v>
      </c>
      <c r="F37" s="20">
        <f>+F36+F35</f>
        <v>666</v>
      </c>
      <c r="G37" s="18">
        <f>+G36+G35</f>
        <v>4235</v>
      </c>
      <c r="H37" s="18">
        <f>H35+H36</f>
        <v>3223</v>
      </c>
      <c r="I37" s="18">
        <v>2223</v>
      </c>
      <c r="J37" s="18">
        <f aca="true" t="shared" si="10" ref="J37:P37">J35+J36</f>
        <v>1079</v>
      </c>
      <c r="K37" s="21">
        <f t="shared" si="10"/>
        <v>3801</v>
      </c>
      <c r="L37" s="19">
        <f t="shared" si="10"/>
        <v>2817</v>
      </c>
      <c r="M37" s="19">
        <f t="shared" si="10"/>
        <v>1911</v>
      </c>
      <c r="N37" s="19">
        <f t="shared" si="10"/>
        <v>864</v>
      </c>
      <c r="O37" s="18">
        <f t="shared" si="10"/>
        <v>2229</v>
      </c>
      <c r="P37" s="18">
        <f t="shared" si="10"/>
        <v>1052</v>
      </c>
    </row>
    <row r="38" spans="1:16" ht="11.25">
      <c r="A38" s="3" t="s">
        <v>31</v>
      </c>
      <c r="C38" s="18">
        <v>1045</v>
      </c>
      <c r="D38" s="19">
        <v>730</v>
      </c>
      <c r="E38" s="19">
        <v>489</v>
      </c>
      <c r="F38" s="20">
        <v>231</v>
      </c>
      <c r="G38" s="18">
        <v>984</v>
      </c>
      <c r="H38" s="18">
        <v>689</v>
      </c>
      <c r="I38" s="18">
        <v>459</v>
      </c>
      <c r="J38" s="18">
        <v>222</v>
      </c>
      <c r="K38" s="21">
        <v>938</v>
      </c>
      <c r="L38" s="19">
        <v>709</v>
      </c>
      <c r="M38" s="19">
        <v>490</v>
      </c>
      <c r="N38" s="19">
        <v>228</v>
      </c>
      <c r="O38" s="18">
        <v>624</v>
      </c>
      <c r="P38" s="18">
        <v>597</v>
      </c>
    </row>
    <row r="39" spans="1:16" ht="11.25">
      <c r="A39" s="3" t="s">
        <v>32</v>
      </c>
      <c r="C39" s="18">
        <f>+C37-C38</f>
        <v>1966</v>
      </c>
      <c r="D39" s="19">
        <f>+D37-D38</f>
        <v>1580</v>
      </c>
      <c r="E39" s="19">
        <f>+E37-E38</f>
        <v>971</v>
      </c>
      <c r="F39" s="20">
        <f>+F37-F38</f>
        <v>435</v>
      </c>
      <c r="G39" s="18">
        <f>+G37-G38</f>
        <v>3251</v>
      </c>
      <c r="H39" s="18">
        <f aca="true" t="shared" si="11" ref="H39:P39">H37-H38</f>
        <v>2534</v>
      </c>
      <c r="I39" s="18">
        <f t="shared" si="11"/>
        <v>1764</v>
      </c>
      <c r="J39" s="18">
        <f t="shared" si="11"/>
        <v>857</v>
      </c>
      <c r="K39" s="21">
        <f t="shared" si="11"/>
        <v>2863</v>
      </c>
      <c r="L39" s="19">
        <f t="shared" si="11"/>
        <v>2108</v>
      </c>
      <c r="M39" s="19">
        <f t="shared" si="11"/>
        <v>1421</v>
      </c>
      <c r="N39" s="19">
        <f t="shared" si="11"/>
        <v>636</v>
      </c>
      <c r="O39" s="18">
        <f t="shared" si="11"/>
        <v>1605</v>
      </c>
      <c r="P39" s="18">
        <f t="shared" si="11"/>
        <v>455</v>
      </c>
    </row>
    <row r="40" spans="1:16" ht="11.25">
      <c r="A40" s="4" t="s">
        <v>33</v>
      </c>
      <c r="B40" s="4"/>
      <c r="C40" s="25">
        <f>+C39-1884</f>
        <v>82</v>
      </c>
      <c r="D40" s="25">
        <v>296</v>
      </c>
      <c r="E40" s="25">
        <v>287</v>
      </c>
      <c r="F40" s="30">
        <f>+F39-300</f>
        <v>135</v>
      </c>
      <c r="G40" s="25">
        <f>+G39-2644</f>
        <v>607</v>
      </c>
      <c r="H40" s="25">
        <v>716</v>
      </c>
      <c r="I40" s="25">
        <v>547</v>
      </c>
      <c r="J40" s="25">
        <f>+J39-450</f>
        <v>407</v>
      </c>
      <c r="K40" s="27">
        <v>2398</v>
      </c>
      <c r="L40" s="25">
        <v>1958</v>
      </c>
      <c r="M40" s="25">
        <v>1421</v>
      </c>
      <c r="N40" s="25">
        <v>636</v>
      </c>
      <c r="O40" s="25">
        <v>1605</v>
      </c>
      <c r="P40" s="25">
        <v>455</v>
      </c>
    </row>
    <row r="41" spans="1:16" ht="11.25">
      <c r="A41" s="31" t="s">
        <v>34</v>
      </c>
      <c r="B41" s="6"/>
      <c r="C41" s="5"/>
      <c r="D41" s="18"/>
      <c r="E41" s="19"/>
      <c r="F41" s="28"/>
      <c r="G41" s="5"/>
      <c r="H41" s="5"/>
      <c r="I41" s="18"/>
      <c r="J41" s="6"/>
      <c r="K41" s="32"/>
      <c r="L41" s="6"/>
      <c r="M41" s="6"/>
      <c r="N41" s="5"/>
      <c r="O41" s="6"/>
      <c r="P41" s="6"/>
    </row>
    <row r="42" spans="1:16" ht="11.25">
      <c r="A42" s="5" t="s">
        <v>35</v>
      </c>
      <c r="B42" s="5"/>
      <c r="C42" s="19">
        <v>5355</v>
      </c>
      <c r="D42" s="18">
        <v>4275</v>
      </c>
      <c r="E42" s="19">
        <v>2627</v>
      </c>
      <c r="F42" s="20">
        <v>2747</v>
      </c>
      <c r="G42" s="19">
        <v>7060</v>
      </c>
      <c r="H42" s="19">
        <v>11718</v>
      </c>
      <c r="I42" s="18">
        <v>33924</v>
      </c>
      <c r="J42" s="19">
        <v>763</v>
      </c>
      <c r="K42" s="21">
        <v>471</v>
      </c>
      <c r="L42" s="19">
        <v>621</v>
      </c>
      <c r="M42" s="19">
        <v>681</v>
      </c>
      <c r="N42" s="19">
        <v>0</v>
      </c>
      <c r="O42" s="19">
        <v>0</v>
      </c>
      <c r="P42" s="19">
        <v>0</v>
      </c>
    </row>
    <row r="43" spans="1:16" ht="11.25">
      <c r="A43" s="5" t="s">
        <v>36</v>
      </c>
      <c r="B43" s="5"/>
      <c r="C43" s="19">
        <v>4997</v>
      </c>
      <c r="D43" s="18">
        <v>4397</v>
      </c>
      <c r="E43" s="19">
        <v>3796</v>
      </c>
      <c r="F43" s="20">
        <v>3413</v>
      </c>
      <c r="G43" s="19">
        <v>0</v>
      </c>
      <c r="H43" s="19">
        <v>0</v>
      </c>
      <c r="I43" s="18">
        <v>0</v>
      </c>
      <c r="J43" s="19">
        <v>0</v>
      </c>
      <c r="K43" s="21">
        <v>0</v>
      </c>
      <c r="L43" s="19">
        <v>0</v>
      </c>
      <c r="M43" s="19">
        <v>44</v>
      </c>
      <c r="N43" s="19">
        <v>5</v>
      </c>
      <c r="O43" s="19">
        <v>5</v>
      </c>
      <c r="P43" s="19">
        <v>5</v>
      </c>
    </row>
    <row r="44" spans="1:16" ht="11.25">
      <c r="A44" s="5" t="s">
        <v>37</v>
      </c>
      <c r="B44" s="5"/>
      <c r="C44" s="33">
        <f aca="true" t="shared" si="12" ref="C44:I44">C42/C12</f>
        <v>0.03398813112881216</v>
      </c>
      <c r="D44" s="33">
        <f t="shared" si="12"/>
        <v>0.041128310708753835</v>
      </c>
      <c r="E44" s="33">
        <f t="shared" si="12"/>
        <v>0.02406823762231099</v>
      </c>
      <c r="F44" s="34">
        <f t="shared" si="12"/>
        <v>0.026500863424563707</v>
      </c>
      <c r="G44" s="35">
        <f t="shared" si="12"/>
        <v>0.058380398739777226</v>
      </c>
      <c r="H44" s="35">
        <f t="shared" si="12"/>
        <v>0.09651355291443256</v>
      </c>
      <c r="I44" s="35">
        <f t="shared" si="12"/>
        <v>0.27632832927415346</v>
      </c>
      <c r="J44" s="33">
        <f>+J42/J12</f>
        <v>0.005787054593996026</v>
      </c>
      <c r="K44" s="36">
        <f aca="true" t="shared" si="13" ref="K44:P44">K42/K12</f>
        <v>0.0034472158791498332</v>
      </c>
      <c r="L44" s="33">
        <f t="shared" si="13"/>
        <v>0.004411984114015332</v>
      </c>
      <c r="M44" s="33">
        <f t="shared" si="13"/>
        <v>0.005439557806284646</v>
      </c>
      <c r="N44" s="33">
        <f t="shared" si="13"/>
        <v>0</v>
      </c>
      <c r="O44" s="33">
        <f t="shared" si="13"/>
        <v>0</v>
      </c>
      <c r="P44" s="33">
        <f t="shared" si="13"/>
        <v>0</v>
      </c>
    </row>
    <row r="45" spans="1:16" ht="11.25">
      <c r="A45" s="37" t="s">
        <v>38</v>
      </c>
      <c r="B45" s="37"/>
      <c r="C45" s="33">
        <f>C43/C42</f>
        <v>0.9331465919701214</v>
      </c>
      <c r="D45" s="33">
        <f>D43/D42</f>
        <v>1.0285380116959064</v>
      </c>
      <c r="E45" s="33">
        <v>0</v>
      </c>
      <c r="F45" s="34">
        <v>0</v>
      </c>
      <c r="G45" s="35">
        <v>0</v>
      </c>
      <c r="H45" s="35">
        <v>0</v>
      </c>
      <c r="I45" s="35">
        <v>0</v>
      </c>
      <c r="J45" s="38">
        <f>+J43/J42</f>
        <v>0</v>
      </c>
      <c r="K45" s="39">
        <f aca="true" t="shared" si="14" ref="K45:P45">K42/K12</f>
        <v>0.0034472158791498332</v>
      </c>
      <c r="L45" s="38">
        <f t="shared" si="14"/>
        <v>0.004411984114015332</v>
      </c>
      <c r="M45" s="38">
        <f t="shared" si="14"/>
        <v>0.005439557806284646</v>
      </c>
      <c r="N45" s="38">
        <f t="shared" si="14"/>
        <v>0</v>
      </c>
      <c r="O45" s="38">
        <f t="shared" si="14"/>
        <v>0</v>
      </c>
      <c r="P45" s="38">
        <f t="shared" si="14"/>
        <v>0</v>
      </c>
    </row>
    <row r="46" spans="1:16" ht="11.25">
      <c r="A46" s="4" t="s">
        <v>39</v>
      </c>
      <c r="B46" s="4"/>
      <c r="C46" s="40">
        <f aca="true" t="shared" si="15" ref="C46:I46">C43/C12</f>
        <v>0.03171590873028466</v>
      </c>
      <c r="D46" s="40">
        <f t="shared" si="15"/>
        <v>0.04230203092079313</v>
      </c>
      <c r="E46" s="40">
        <f t="shared" si="15"/>
        <v>0.034778465936160075</v>
      </c>
      <c r="F46" s="41">
        <f t="shared" si="15"/>
        <v>0.03292589984275061</v>
      </c>
      <c r="G46" s="40">
        <f t="shared" si="15"/>
        <v>0</v>
      </c>
      <c r="H46" s="40">
        <f t="shared" si="15"/>
        <v>0</v>
      </c>
      <c r="I46" s="40">
        <f t="shared" si="15"/>
        <v>0</v>
      </c>
      <c r="J46" s="40">
        <f>+J43/J12</f>
        <v>0</v>
      </c>
      <c r="K46" s="42">
        <f>+K43/K12</f>
        <v>0</v>
      </c>
      <c r="L46" s="40">
        <f>+L43/L12</f>
        <v>0</v>
      </c>
      <c r="M46" s="40">
        <f>44/M12</f>
        <v>0.00035145454254996244</v>
      </c>
      <c r="N46" s="40">
        <f>5/N12</f>
        <v>4.613141918697987E-05</v>
      </c>
      <c r="O46" s="40">
        <f>5/O12</f>
        <v>5.4118996850274384E-05</v>
      </c>
      <c r="P46" s="40">
        <f>5/P12</f>
        <v>7.913646291665348E-05</v>
      </c>
    </row>
    <row r="47" spans="1:18" s="2" customFormat="1" ht="11.25">
      <c r="A47" s="43" t="s">
        <v>40</v>
      </c>
      <c r="B47" s="44"/>
      <c r="C47" s="44"/>
      <c r="D47" s="3"/>
      <c r="E47" s="19"/>
      <c r="F47" s="45"/>
      <c r="G47" s="46"/>
      <c r="H47" s="46"/>
      <c r="I47" s="46"/>
      <c r="J47" s="47"/>
      <c r="K47" s="46"/>
      <c r="L47" s="46"/>
      <c r="M47" s="46"/>
      <c r="N47" s="37"/>
      <c r="O47" s="46"/>
      <c r="P47" s="46"/>
      <c r="Q47" s="44"/>
      <c r="R47" s="44"/>
    </row>
    <row r="48" spans="1:18" s="2" customFormat="1" ht="11.25">
      <c r="A48" s="44" t="s">
        <v>41</v>
      </c>
      <c r="B48" s="44"/>
      <c r="C48" s="33">
        <f aca="true" t="shared" si="16" ref="C48:P48">+C25/C12</f>
        <v>0.13889118085747834</v>
      </c>
      <c r="D48" s="33">
        <f t="shared" si="16"/>
        <v>0.16428234705559777</v>
      </c>
      <c r="E48" s="33">
        <f t="shared" si="16"/>
        <v>0.15724520834096822</v>
      </c>
      <c r="F48" s="48">
        <f t="shared" si="16"/>
        <v>0.16409890311315203</v>
      </c>
      <c r="G48" s="38">
        <f t="shared" si="16"/>
        <v>0.12300402708982808</v>
      </c>
      <c r="H48" s="38">
        <f t="shared" si="16"/>
        <v>0.12342170937214302</v>
      </c>
      <c r="I48" s="38">
        <f t="shared" si="16"/>
        <v>0.12068389713848184</v>
      </c>
      <c r="J48" s="48">
        <f t="shared" si="16"/>
        <v>0.11131168181059721</v>
      </c>
      <c r="K48" s="38">
        <f t="shared" si="16"/>
        <v>0.10443380759997659</v>
      </c>
      <c r="L48" s="38">
        <f t="shared" si="16"/>
        <v>0.09825723075174242</v>
      </c>
      <c r="M48" s="38">
        <f t="shared" si="16"/>
        <v>0.10617920986628752</v>
      </c>
      <c r="N48" s="38">
        <f t="shared" si="16"/>
        <v>0.0969405642795195</v>
      </c>
      <c r="O48" s="38">
        <f t="shared" si="16"/>
        <v>0.04985441989847276</v>
      </c>
      <c r="P48" s="38">
        <f t="shared" si="16"/>
        <v>0.046342312683992276</v>
      </c>
      <c r="Q48" s="44"/>
      <c r="R48" s="44"/>
    </row>
    <row r="49" spans="1:18" s="2" customFormat="1" ht="11.25">
      <c r="A49" s="49" t="s">
        <v>42</v>
      </c>
      <c r="B49" s="49"/>
      <c r="C49" s="40">
        <f aca="true" t="shared" si="17" ref="C49:P49">C25/(C12+C15)</f>
        <v>0.08333428537699025</v>
      </c>
      <c r="D49" s="40">
        <f t="shared" si="17"/>
        <v>0.1611551528878822</v>
      </c>
      <c r="E49" s="40">
        <f t="shared" si="17"/>
        <v>0.1542589047375091</v>
      </c>
      <c r="F49" s="50">
        <f t="shared" si="17"/>
        <v>0.16082064857710127</v>
      </c>
      <c r="G49" s="51">
        <f t="shared" si="17"/>
        <v>0.12288919731667823</v>
      </c>
      <c r="H49" s="51">
        <f t="shared" si="17"/>
        <v>0.12330694666161973</v>
      </c>
      <c r="I49" s="51">
        <f t="shared" si="17"/>
        <v>0.12057291666666667</v>
      </c>
      <c r="J49" s="50">
        <f t="shared" si="17"/>
        <v>0.11121636265809835</v>
      </c>
      <c r="K49" s="51">
        <f t="shared" si="17"/>
        <v>0.10434750813558083</v>
      </c>
      <c r="L49" s="51">
        <f t="shared" si="17"/>
        <v>0.09765638791405108</v>
      </c>
      <c r="M49" s="51">
        <f t="shared" si="17"/>
        <v>0.10608345902463549</v>
      </c>
      <c r="N49" s="51">
        <f t="shared" si="17"/>
        <v>0.0968288929232981</v>
      </c>
      <c r="O49" s="51">
        <f t="shared" si="17"/>
        <v>0.0497870592558964</v>
      </c>
      <c r="P49" s="51">
        <f t="shared" si="17"/>
        <v>0.04445389123371694</v>
      </c>
      <c r="Q49" s="44"/>
      <c r="R49" s="44"/>
    </row>
    <row r="50" spans="1:14" ht="11.25">
      <c r="A50" s="12" t="s">
        <v>43</v>
      </c>
      <c r="C50" s="19"/>
      <c r="D50" s="19"/>
      <c r="E50" s="19"/>
      <c r="F50" s="28"/>
      <c r="K50" s="29"/>
      <c r="L50" s="5"/>
      <c r="M50" s="5"/>
      <c r="N50" s="5"/>
    </row>
    <row r="51" spans="1:16" ht="11.25">
      <c r="A51" s="3" t="s">
        <v>44</v>
      </c>
      <c r="C51" s="33">
        <f aca="true" t="shared" si="18" ref="C51:P51">C11/C16</f>
        <v>0.13791140077069333</v>
      </c>
      <c r="D51" s="33">
        <f t="shared" si="18"/>
        <v>0.597337281106458</v>
      </c>
      <c r="E51" s="33">
        <f t="shared" si="18"/>
        <v>0.480435393258427</v>
      </c>
      <c r="F51" s="52">
        <f t="shared" si="18"/>
        <v>0.5030351735717463</v>
      </c>
      <c r="G51" s="53">
        <f t="shared" si="18"/>
        <v>0.36847057481751827</v>
      </c>
      <c r="H51" s="53">
        <f t="shared" si="18"/>
        <v>0.42721210896599865</v>
      </c>
      <c r="I51" s="53">
        <f t="shared" si="18"/>
        <v>0.5270778645354378</v>
      </c>
      <c r="J51" s="35">
        <f t="shared" si="18"/>
        <v>0.3787980800556002</v>
      </c>
      <c r="K51" s="36">
        <f t="shared" si="18"/>
        <v>0.1743849666483372</v>
      </c>
      <c r="L51" s="33">
        <f t="shared" si="18"/>
        <v>0.4290504823576054</v>
      </c>
      <c r="M51" s="33">
        <f t="shared" si="18"/>
        <v>0.20210290153531904</v>
      </c>
      <c r="N51" s="33">
        <f t="shared" si="18"/>
        <v>0.375159142992252</v>
      </c>
      <c r="O51" s="35">
        <f t="shared" si="18"/>
        <v>0.5917710840663173</v>
      </c>
      <c r="P51" s="35">
        <f t="shared" si="18"/>
        <v>0.2947848456501403</v>
      </c>
    </row>
    <row r="52" spans="1:16" ht="11.25">
      <c r="A52" s="3" t="s">
        <v>45</v>
      </c>
      <c r="C52" s="33">
        <f aca="true" t="shared" si="19" ref="C52:P52">C11/C10</f>
        <v>0.09219747279413264</v>
      </c>
      <c r="D52" s="33">
        <f t="shared" si="19"/>
        <v>0.35076750860395606</v>
      </c>
      <c r="E52" s="33">
        <f t="shared" si="19"/>
        <v>0.230134756019618</v>
      </c>
      <c r="F52" s="52">
        <f t="shared" si="19"/>
        <v>0.2435419995831307</v>
      </c>
      <c r="G52" s="53">
        <f t="shared" si="19"/>
        <v>0.17018278550358196</v>
      </c>
      <c r="H52" s="53">
        <f t="shared" si="19"/>
        <v>0.1511303748854679</v>
      </c>
      <c r="I52" s="53">
        <f t="shared" si="19"/>
        <v>0.19271304560459715</v>
      </c>
      <c r="J52" s="35">
        <f t="shared" si="19"/>
        <v>0.11057783751569177</v>
      </c>
      <c r="K52" s="36">
        <f t="shared" si="19"/>
        <v>0.04799189388356669</v>
      </c>
      <c r="L52" s="33">
        <f t="shared" si="19"/>
        <v>0.14489414521212798</v>
      </c>
      <c r="M52" s="33">
        <f t="shared" si="19"/>
        <v>0.08161264586967398</v>
      </c>
      <c r="N52" s="33">
        <f t="shared" si="19"/>
        <v>0.1499861844305804</v>
      </c>
      <c r="O52" s="35">
        <f t="shared" si="19"/>
        <v>0.21316975138569252</v>
      </c>
      <c r="P52" s="35">
        <f t="shared" si="19"/>
        <v>0.12825600325600325</v>
      </c>
    </row>
    <row r="53" spans="1:16" ht="11.25">
      <c r="A53" s="4" t="s">
        <v>46</v>
      </c>
      <c r="B53" s="4"/>
      <c r="C53" s="40">
        <f aca="true" t="shared" si="20" ref="C53:P53">(C11+C15)/C16</f>
        <v>0.6718961292487265</v>
      </c>
      <c r="D53" s="40">
        <f t="shared" si="20"/>
        <v>0.6177893146490099</v>
      </c>
      <c r="E53" s="40">
        <f t="shared" si="20"/>
        <v>0.5101123595505618</v>
      </c>
      <c r="F53" s="54">
        <f t="shared" si="20"/>
        <v>0.5333582078842759</v>
      </c>
      <c r="G53" s="55">
        <f t="shared" si="20"/>
        <v>0.3700815465328467</v>
      </c>
      <c r="H53" s="55">
        <f t="shared" si="20"/>
        <v>0.42928782674185784</v>
      </c>
      <c r="I53" s="55">
        <f t="shared" si="20"/>
        <v>0.5289672122924644</v>
      </c>
      <c r="J53" s="40">
        <f t="shared" si="20"/>
        <v>0.3812523076254805</v>
      </c>
      <c r="K53" s="42">
        <f t="shared" si="20"/>
        <v>0.17708657087527196</v>
      </c>
      <c r="L53" s="40">
        <f t="shared" si="20"/>
        <v>0.44335601955860976</v>
      </c>
      <c r="M53" s="40">
        <f t="shared" si="20"/>
        <v>0.2039948432032414</v>
      </c>
      <c r="N53" s="40">
        <f t="shared" si="20"/>
        <v>0.37743261431013786</v>
      </c>
      <c r="O53" s="40">
        <f t="shared" si="20"/>
        <v>0.5945830427642679</v>
      </c>
      <c r="P53" s="40">
        <f t="shared" si="20"/>
        <v>0.37324602432179604</v>
      </c>
    </row>
    <row r="54" spans="1:14" ht="11.25">
      <c r="A54" s="12" t="s">
        <v>47</v>
      </c>
      <c r="D54" s="19"/>
      <c r="E54" s="19"/>
      <c r="F54" s="28"/>
      <c r="K54" s="29"/>
      <c r="L54" s="5"/>
      <c r="M54" s="5"/>
      <c r="N54" s="5"/>
    </row>
    <row r="55" spans="1:16" ht="11.25">
      <c r="A55" s="3" t="s">
        <v>48</v>
      </c>
      <c r="B55" s="5"/>
      <c r="C55" s="38">
        <f>C40/C28</f>
        <v>0.0004274874425563749</v>
      </c>
      <c r="D55" s="33">
        <f>(D40/0.75)/D28</f>
        <v>0.0034698105964030023</v>
      </c>
      <c r="E55" s="33">
        <f>(E40/0.5)/E28</f>
        <v>0.004903028517004711</v>
      </c>
      <c r="F55" s="34">
        <f>((F40)/0.25)/F28</f>
        <v>0.004542988024178792</v>
      </c>
      <c r="G55" s="38">
        <f>G40/G28</f>
        <v>0.004709277742649997</v>
      </c>
      <c r="H55" s="38">
        <f>(H40/0.75)/H28</f>
        <v>0.007255822201954562</v>
      </c>
      <c r="I55" s="35">
        <f>(I40/0.5)/I28</f>
        <v>0.008815933147183375</v>
      </c>
      <c r="J55" s="35">
        <f>((J40)/0.25)/J28</f>
        <v>0.013540150538528714</v>
      </c>
      <c r="K55" s="39">
        <f>K40/K28</f>
        <v>0.02091957131453945</v>
      </c>
      <c r="L55" s="38">
        <f>(L40/0.75)/L28</f>
        <v>0.02308098088274732</v>
      </c>
      <c r="M55" s="38">
        <f>(M40/0.5)/M28</f>
        <v>0.0264906835192901</v>
      </c>
      <c r="N55" s="33">
        <f>((N40)/0.25)/N28</f>
        <v>0.028075286795013987</v>
      </c>
      <c r="O55" s="35">
        <f>O40/O28</f>
        <v>0.020267710569516352</v>
      </c>
      <c r="P55" s="35">
        <f>P40/P28</f>
        <v>0.010456284686713625</v>
      </c>
    </row>
    <row r="56" spans="1:16" ht="11.25">
      <c r="A56" s="3" t="s">
        <v>49</v>
      </c>
      <c r="B56" s="5"/>
      <c r="C56" s="38">
        <f>C40/C27</f>
        <v>0.000367622335298469</v>
      </c>
      <c r="D56" s="33">
        <f>(D40/0.75)/D27</f>
        <v>0.002452617765528499</v>
      </c>
      <c r="E56" s="33">
        <f>(E40/0.5)/E27</f>
        <v>0.0036769062741216904</v>
      </c>
      <c r="F56" s="34">
        <f>((F40)/0.25)/F27</f>
        <v>0.0035802370912562656</v>
      </c>
      <c r="G56" s="38">
        <f>G40/G27</f>
        <v>0.0039953135695855934</v>
      </c>
      <c r="H56" s="38">
        <f>(H40/0.75)/H27</f>
        <v>0.0057312897603224245</v>
      </c>
      <c r="I56" s="35">
        <f>(I40/0.5)/I27</f>
        <v>0.007024392749593883</v>
      </c>
      <c r="J56" s="35">
        <f>((J40)/0.25)/J27</f>
        <v>0.011027867719778359</v>
      </c>
      <c r="K56" s="39">
        <f>K40/K27</f>
        <v>0.017415428413728992</v>
      </c>
      <c r="L56" s="38">
        <f>(L40/0.75)/L27</f>
        <v>0.017783711736750203</v>
      </c>
      <c r="M56" s="38">
        <f>(M40/0.5)/M27</f>
        <v>0.02204904010644364</v>
      </c>
      <c r="N56" s="33">
        <f>((N40)/0.25)/N27</f>
        <v>0.021451609503130468</v>
      </c>
      <c r="O56" s="35">
        <f>O40/O27</f>
        <v>0.015888886688973806</v>
      </c>
      <c r="P56" s="35">
        <f>P40/P27</f>
        <v>0.007861295645187763</v>
      </c>
    </row>
    <row r="57" spans="1:16" ht="11.25">
      <c r="A57" s="3" t="s">
        <v>50</v>
      </c>
      <c r="B57" s="5"/>
      <c r="C57" s="38">
        <f>+C40/C31</f>
        <v>0.0044616137983568204</v>
      </c>
      <c r="D57" s="33">
        <f>(D40/0.75)/D31</f>
        <v>0.024619735296258174</v>
      </c>
      <c r="E57" s="33">
        <f>(E40/0.5)/E31</f>
        <v>0.03589855842896901</v>
      </c>
      <c r="F57" s="34">
        <f>((F40)/0.25)/F31</f>
        <v>0.03408445370195039</v>
      </c>
      <c r="G57" s="38">
        <f>+G40/G31</f>
        <v>0.04165522920669778</v>
      </c>
      <c r="H57" s="38">
        <f>(H40/0.75)/H31</f>
        <v>0.06626178494996819</v>
      </c>
      <c r="I57" s="35">
        <f>(I40/0.5)/I31</f>
        <v>0.0778398377743783</v>
      </c>
      <c r="J57" s="35">
        <f>((J40)/0.25)/J31</f>
        <v>0.12929357105984196</v>
      </c>
      <c r="K57" s="39">
        <f>+K40/K31</f>
        <v>0.25409271523178806</v>
      </c>
      <c r="L57" s="38">
        <f>(L40/0.75)/L31</f>
        <v>0.2922169987314379</v>
      </c>
      <c r="M57" s="38">
        <f>(M40/0.5)/M31</f>
        <v>0.3361921097770154</v>
      </c>
      <c r="N57" s="33">
        <f>((N40)/0.25)/N31</f>
        <v>0.3729111697449428</v>
      </c>
      <c r="O57" s="35">
        <f>O40/O31</f>
        <v>0.4260684895142023</v>
      </c>
      <c r="P57" s="35">
        <f>P40/P31</f>
        <v>0.15294117647058825</v>
      </c>
    </row>
    <row r="58" spans="1:16" ht="11.25">
      <c r="A58" s="3" t="s">
        <v>51</v>
      </c>
      <c r="B58" s="5"/>
      <c r="C58" s="38">
        <f>C33/C28</f>
        <v>0.0696908796596783</v>
      </c>
      <c r="D58" s="33">
        <f>(D33/0.75)/D28</f>
        <v>0.11470302934393031</v>
      </c>
      <c r="E58" s="33">
        <f>(E33/0.5)/E28</f>
        <v>0.10820830183521894</v>
      </c>
      <c r="F58" s="34">
        <f>((F33)/0.25)/F28</f>
        <v>0.10381568929327091</v>
      </c>
      <c r="G58" s="38">
        <f>G33/G28</f>
        <v>0.12060250825287347</v>
      </c>
      <c r="H58" s="38">
        <f>(H33/0.75)/H28</f>
        <v>0.1180793858899086</v>
      </c>
      <c r="I58" s="35">
        <f>(I33/0.5)/I28</f>
        <v>0.1257922453633752</v>
      </c>
      <c r="J58" s="35">
        <f>((J33)/0.25)/J28</f>
        <v>0.13310600074853413</v>
      </c>
      <c r="K58" s="39">
        <f>K33/K28</f>
        <v>0.13090871023602127</v>
      </c>
      <c r="L58" s="38">
        <f>(L33/0.75)/L28</f>
        <v>0.12688645465878046</v>
      </c>
      <c r="M58" s="38">
        <f>(M33/0.5)/M28</f>
        <v>0.12352376424969473</v>
      </c>
      <c r="N58" s="33">
        <f>((N33)/0.25)/N28</f>
        <v>0.1388755538633868</v>
      </c>
      <c r="O58" s="35">
        <f>O33/O28</f>
        <v>0.11229953276928906</v>
      </c>
      <c r="P58" s="35">
        <f>P33/P27</f>
        <v>0.06506733934016949</v>
      </c>
    </row>
    <row r="59" spans="1:16" ht="11.25">
      <c r="A59" s="3" t="s">
        <v>52</v>
      </c>
      <c r="B59" s="5"/>
      <c r="C59" s="38">
        <f>C34/C28</f>
        <v>0.05745535493187571</v>
      </c>
      <c r="D59" s="33">
        <f>(D34/0.75)/D28</f>
        <v>0.09244231879470971</v>
      </c>
      <c r="E59" s="33">
        <f>(E34/0.5)/E28</f>
        <v>0.08857910404414435</v>
      </c>
      <c r="F59" s="34">
        <f>((F34)/0.25)/F28</f>
        <v>0.087326325353659</v>
      </c>
      <c r="G59" s="38">
        <f>G34/G28</f>
        <v>0.0930683621100978</v>
      </c>
      <c r="H59" s="38">
        <f>(H34/0.75)/H28</f>
        <v>0.09064710837497704</v>
      </c>
      <c r="I59" s="35">
        <f>(I34/0.5)/I28</f>
        <v>0.09552474545403264</v>
      </c>
      <c r="J59" s="35">
        <f>((J34)/0.25)/J28</f>
        <v>0.10246600407535243</v>
      </c>
      <c r="K59" s="39">
        <f>K34/K28</f>
        <v>0.10659559711941516</v>
      </c>
      <c r="L59" s="38">
        <f>(L34/0.75)/L28</f>
        <v>0.10261488181017131</v>
      </c>
      <c r="M59" s="38">
        <f>(M34/0.5)/M28</f>
        <v>0.0975364223595537</v>
      </c>
      <c r="N59" s="33">
        <f>((N34)/0.25)/N28</f>
        <v>0.11238943424544907</v>
      </c>
      <c r="O59" s="35">
        <f>O34/O28</f>
        <v>0.09440585932567243</v>
      </c>
      <c r="P59" s="35">
        <f>P34/P27</f>
        <v>0.05749976243337336</v>
      </c>
    </row>
    <row r="60" spans="1:16" ht="11.25">
      <c r="A60" s="3" t="s">
        <v>53</v>
      </c>
      <c r="B60" s="5"/>
      <c r="C60" s="38">
        <f>C35/C28</f>
        <v>0.012235524727802585</v>
      </c>
      <c r="D60" s="33">
        <f>(D35/0.75)/D28</f>
        <v>0.022260710549220613</v>
      </c>
      <c r="E60" s="33">
        <f>(E35/0.5)/E28</f>
        <v>0.01962919779107461</v>
      </c>
      <c r="F60" s="34">
        <f>((F35)/0.25)/F28</f>
        <v>0.016489363939611913</v>
      </c>
      <c r="G60" s="38">
        <f>G35/G28</f>
        <v>0.027534146142775683</v>
      </c>
      <c r="H60" s="38">
        <f>(H35/0.75)/H28</f>
        <v>0.027432277514931568</v>
      </c>
      <c r="I60" s="35">
        <f>(I35/0.5)/I28</f>
        <v>0.030267499909342552</v>
      </c>
      <c r="J60" s="35">
        <f>((J35)/0.25)/J28</f>
        <v>0.030639996673181687</v>
      </c>
      <c r="K60" s="39">
        <f>K35/K28</f>
        <v>0.02431311311660611</v>
      </c>
      <c r="L60" s="38">
        <f>(L35/0.75)/L28</f>
        <v>0.02427157284860916</v>
      </c>
      <c r="M60" s="38">
        <f>(M35/0.5)/M28</f>
        <v>0.025987341890141027</v>
      </c>
      <c r="N60" s="33">
        <f>((N35)/0.25)/N28</f>
        <v>0.026486119617937724</v>
      </c>
      <c r="O60" s="35">
        <f>O35/O28</f>
        <v>0.017893673443616618</v>
      </c>
      <c r="P60" s="35">
        <f>P35/P27</f>
        <v>0.007567576906796133</v>
      </c>
    </row>
    <row r="61" spans="1:16" ht="11.25">
      <c r="A61" s="3" t="s">
        <v>54</v>
      </c>
      <c r="B61" s="5"/>
      <c r="C61" s="38">
        <f>C38/C37</f>
        <v>0.34706077715044836</v>
      </c>
      <c r="D61" s="33">
        <f>(D38/0.75)/(D37/0.75)</f>
        <v>0.31601731601731603</v>
      </c>
      <c r="E61" s="33">
        <f>(E38/0.5)/(E37/0.5)</f>
        <v>0.33493150684931505</v>
      </c>
      <c r="F61" s="34">
        <f>(F38/0.25)/(F37/0.25)</f>
        <v>0.34684684684684686</v>
      </c>
      <c r="G61" s="38">
        <f>G38/G37</f>
        <v>0.23234946871310508</v>
      </c>
      <c r="H61" s="38">
        <f>(H38/0.75)/(H37/0.75)</f>
        <v>0.21377598510704313</v>
      </c>
      <c r="I61" s="35">
        <f>(I38/0.5)/(I37/0.5)</f>
        <v>0.20647773279352227</v>
      </c>
      <c r="J61" s="35">
        <f>(J38/0.25)/(J37/0.25)</f>
        <v>0.2057460611677479</v>
      </c>
      <c r="K61" s="39">
        <f>K38/K37</f>
        <v>0.24677716390423574</v>
      </c>
      <c r="L61" s="38">
        <f>(L38/0.75)/(L37/0.75)</f>
        <v>0.25168619098331557</v>
      </c>
      <c r="M61" s="38">
        <f>(M38/0.5)/(M37/0.5)</f>
        <v>0.2564102564102564</v>
      </c>
      <c r="N61" s="33">
        <f>(N38/0.25)/(N37/0.25)</f>
        <v>0.2638888888888889</v>
      </c>
      <c r="O61" s="35">
        <f>O38/O37</f>
        <v>0.27994616419919244</v>
      </c>
      <c r="P61" s="35">
        <f>P38/P37</f>
        <v>0.5674904942965779</v>
      </c>
    </row>
    <row r="62" spans="1:16" ht="11.25">
      <c r="A62" s="4" t="s">
        <v>55</v>
      </c>
      <c r="B62" s="4"/>
      <c r="C62" s="51">
        <f>C36/C28</f>
        <v>0.0034616056324077186</v>
      </c>
      <c r="D62" s="40">
        <f>(D36/0.75)/D28</f>
        <v>0.004817878902437952</v>
      </c>
      <c r="E62" s="40">
        <f>(E36/0.5)/E28</f>
        <v>0.005313037870343084</v>
      </c>
      <c r="F62" s="41">
        <f>(F36/0.25)/F28</f>
        <v>0.005922710313003462</v>
      </c>
      <c r="G62" s="51">
        <f>G36/G28</f>
        <v>0.00532218209465881</v>
      </c>
      <c r="H62" s="51">
        <f>(H36/0.75)/H28</f>
        <v>0.005229056223754964</v>
      </c>
      <c r="I62" s="40">
        <f>(I36/0.5)/I28</f>
        <v>0.005560323465773792</v>
      </c>
      <c r="J62" s="40">
        <f>(J36/0.25)/J28</f>
        <v>0.005256372936333014</v>
      </c>
      <c r="K62" s="56">
        <f>K36/K28</f>
        <v>0.008845890455772729</v>
      </c>
      <c r="L62" s="51">
        <f>(L36/0.75)/L28</f>
        <v>0.008935333763596766</v>
      </c>
      <c r="M62" s="51">
        <f>(M36/0.5)/M28</f>
        <v>0.009638060084076694</v>
      </c>
      <c r="N62" s="40">
        <f>(N36/0.25)/N28</f>
        <v>0.011653892631892598</v>
      </c>
      <c r="O62" s="40">
        <f>O36/O28</f>
        <v>0.01025381992675843</v>
      </c>
      <c r="P62" s="40">
        <f>P36/P27</f>
        <v>0.01060842972779184</v>
      </c>
    </row>
    <row r="63" spans="1:14" ht="11.25">
      <c r="A63" s="12" t="s">
        <v>56</v>
      </c>
      <c r="E63" s="19"/>
      <c r="F63" s="28"/>
      <c r="K63" s="29"/>
      <c r="L63" s="5"/>
      <c r="M63" s="5"/>
      <c r="N63" s="5"/>
    </row>
    <row r="64" spans="1:16" ht="11.25">
      <c r="A64" s="3" t="s">
        <v>57</v>
      </c>
      <c r="C64" s="3">
        <v>6</v>
      </c>
      <c r="D64" s="18">
        <v>6</v>
      </c>
      <c r="E64" s="19">
        <v>6</v>
      </c>
      <c r="F64" s="28">
        <v>6</v>
      </c>
      <c r="G64" s="3">
        <v>5</v>
      </c>
      <c r="H64" s="18">
        <v>5</v>
      </c>
      <c r="I64" s="18">
        <v>5</v>
      </c>
      <c r="J64" s="18">
        <v>5</v>
      </c>
      <c r="K64" s="21">
        <v>5</v>
      </c>
      <c r="L64" s="19">
        <v>5</v>
      </c>
      <c r="M64" s="19">
        <v>5</v>
      </c>
      <c r="N64" s="19">
        <v>5</v>
      </c>
      <c r="O64" s="18">
        <v>5</v>
      </c>
      <c r="P64" s="18">
        <v>5</v>
      </c>
    </row>
    <row r="65" spans="1:16" ht="11.25">
      <c r="A65" s="3" t="s">
        <v>58</v>
      </c>
      <c r="C65" s="3">
        <v>1</v>
      </c>
      <c r="D65" s="18">
        <v>1</v>
      </c>
      <c r="E65" s="19">
        <v>1</v>
      </c>
      <c r="F65" s="28">
        <v>1</v>
      </c>
      <c r="G65" s="3">
        <v>1</v>
      </c>
      <c r="H65" s="18">
        <v>1</v>
      </c>
      <c r="I65" s="18">
        <v>1</v>
      </c>
      <c r="J65" s="18">
        <v>1</v>
      </c>
      <c r="K65" s="21">
        <v>1</v>
      </c>
      <c r="L65" s="19">
        <v>1</v>
      </c>
      <c r="M65" s="19">
        <v>1</v>
      </c>
      <c r="N65" s="19">
        <v>1</v>
      </c>
      <c r="O65" s="18">
        <v>1</v>
      </c>
      <c r="P65" s="18">
        <v>1</v>
      </c>
    </row>
    <row r="66" spans="1:16" ht="11.25">
      <c r="A66" s="3" t="s">
        <v>59</v>
      </c>
      <c r="C66" s="19">
        <f aca="true" t="shared" si="21" ref="C66:P66">C12/C64</f>
        <v>26259.166666666668</v>
      </c>
      <c r="D66" s="19">
        <f t="shared" si="21"/>
        <v>17323.833333333332</v>
      </c>
      <c r="E66" s="19">
        <f t="shared" si="21"/>
        <v>18191.333333333332</v>
      </c>
      <c r="F66" s="20">
        <f t="shared" si="21"/>
        <v>17276.166666666668</v>
      </c>
      <c r="G66" s="18">
        <f t="shared" si="21"/>
        <v>24186.2</v>
      </c>
      <c r="H66" s="18">
        <f t="shared" si="21"/>
        <v>24282.6</v>
      </c>
      <c r="I66" s="18">
        <f t="shared" si="21"/>
        <v>24553.4</v>
      </c>
      <c r="J66" s="18">
        <f t="shared" si="21"/>
        <v>26369.2</v>
      </c>
      <c r="K66" s="21">
        <f t="shared" si="21"/>
        <v>27326.4</v>
      </c>
      <c r="L66" s="19">
        <f t="shared" si="21"/>
        <v>28150.6</v>
      </c>
      <c r="M66" s="19">
        <f t="shared" si="21"/>
        <v>25038.8</v>
      </c>
      <c r="N66" s="19">
        <f t="shared" si="21"/>
        <v>21677.2</v>
      </c>
      <c r="O66" s="18">
        <f t="shared" si="21"/>
        <v>18477.8</v>
      </c>
      <c r="P66" s="18">
        <f t="shared" si="21"/>
        <v>12636.4</v>
      </c>
    </row>
    <row r="67" spans="1:16" ht="11.25">
      <c r="A67" s="3" t="s">
        <v>60</v>
      </c>
      <c r="C67" s="19">
        <f aca="true" t="shared" si="22" ref="C67:P67">+C16/C64</f>
        <v>32784.333333333336</v>
      </c>
      <c r="D67" s="19">
        <f t="shared" si="22"/>
        <v>16436.833333333332</v>
      </c>
      <c r="E67" s="19">
        <f t="shared" si="22"/>
        <v>11866.666666666666</v>
      </c>
      <c r="F67" s="20">
        <f t="shared" si="22"/>
        <v>11613.833333333334</v>
      </c>
      <c r="G67" s="18">
        <f t="shared" si="22"/>
        <v>14028.8</v>
      </c>
      <c r="H67" s="18">
        <f t="shared" si="22"/>
        <v>10887.8</v>
      </c>
      <c r="I67" s="18">
        <f t="shared" si="22"/>
        <v>11961.8</v>
      </c>
      <c r="J67" s="18">
        <f t="shared" si="22"/>
        <v>9208.6</v>
      </c>
      <c r="K67" s="21">
        <f t="shared" si="22"/>
        <v>8365.4</v>
      </c>
      <c r="L67" s="19">
        <f t="shared" si="22"/>
        <v>12107.2</v>
      </c>
      <c r="M67" s="19">
        <f t="shared" si="22"/>
        <v>11945.4</v>
      </c>
      <c r="N67" s="19">
        <f t="shared" si="22"/>
        <v>10996.4</v>
      </c>
      <c r="O67" s="18">
        <f t="shared" si="22"/>
        <v>8890.6</v>
      </c>
      <c r="P67" s="18">
        <f t="shared" si="22"/>
        <v>6841.6</v>
      </c>
    </row>
    <row r="68" spans="1:16" ht="11.25">
      <c r="A68" s="4" t="s">
        <v>61</v>
      </c>
      <c r="B68" s="4"/>
      <c r="C68" s="25">
        <f aca="true" t="shared" si="23" ref="C68:P68">+C40/C64</f>
        <v>13.666666666666666</v>
      </c>
      <c r="D68" s="25">
        <f t="shared" si="23"/>
        <v>49.333333333333336</v>
      </c>
      <c r="E68" s="25">
        <f t="shared" si="23"/>
        <v>47.833333333333336</v>
      </c>
      <c r="F68" s="26">
        <f t="shared" si="23"/>
        <v>22.5</v>
      </c>
      <c r="G68" s="25">
        <f t="shared" si="23"/>
        <v>121.4</v>
      </c>
      <c r="H68" s="25">
        <f t="shared" si="23"/>
        <v>143.2</v>
      </c>
      <c r="I68" s="25">
        <f t="shared" si="23"/>
        <v>109.4</v>
      </c>
      <c r="J68" s="25">
        <f t="shared" si="23"/>
        <v>81.4</v>
      </c>
      <c r="K68" s="27">
        <f t="shared" si="23"/>
        <v>479.6</v>
      </c>
      <c r="L68" s="25">
        <f t="shared" si="23"/>
        <v>391.6</v>
      </c>
      <c r="M68" s="25">
        <f t="shared" si="23"/>
        <v>284.2</v>
      </c>
      <c r="N68" s="25">
        <f t="shared" si="23"/>
        <v>127.2</v>
      </c>
      <c r="O68" s="25">
        <f t="shared" si="23"/>
        <v>321</v>
      </c>
      <c r="P68" s="25">
        <f t="shared" si="23"/>
        <v>91</v>
      </c>
    </row>
    <row r="69" spans="1:14" ht="11.25">
      <c r="A69" s="12" t="s">
        <v>62</v>
      </c>
      <c r="E69" s="19"/>
      <c r="F69" s="28"/>
      <c r="K69" s="29"/>
      <c r="L69" s="5"/>
      <c r="M69" s="5"/>
      <c r="N69" s="5"/>
    </row>
    <row r="70" spans="1:16" ht="11.25">
      <c r="A70" s="3" t="s">
        <v>63</v>
      </c>
      <c r="C70" s="33">
        <f aca="true" t="shared" si="24" ref="C70:I70">(C10/G10)-1</f>
        <v>0.9374078171091444</v>
      </c>
      <c r="D70" s="33">
        <f t="shared" si="24"/>
        <v>0.09135924412068586</v>
      </c>
      <c r="E70" s="33">
        <f t="shared" si="24"/>
        <v>-0.09133757183029712</v>
      </c>
      <c r="F70" s="34">
        <f t="shared" si="24"/>
        <v>-0.0874681409532988</v>
      </c>
      <c r="G70" s="35">
        <f t="shared" si="24"/>
        <v>-0.0007369196757552876</v>
      </c>
      <c r="H70" s="35">
        <f t="shared" si="24"/>
        <v>-0.14151906501910683</v>
      </c>
      <c r="I70" s="35">
        <f t="shared" si="24"/>
        <v>0.1059727123984151</v>
      </c>
      <c r="J70" s="35">
        <f>+(J10/N10)-1</f>
        <v>0.1468813169873333</v>
      </c>
      <c r="K70" s="36">
        <f>+(K10/O10)-1</f>
        <v>0.23159703089040873</v>
      </c>
      <c r="L70" s="33">
        <f>+(L10/114347)-1</f>
        <v>0.5676406027267877</v>
      </c>
      <c r="M70" s="33">
        <f>+(M10/109883)-1</f>
        <v>0.3460316882502299</v>
      </c>
      <c r="N70" s="33">
        <f>+(N10/99659)-1</f>
        <v>0.37996568297895816</v>
      </c>
      <c r="O70" s="35">
        <f>+(O10/P10)-1</f>
        <v>0.5695461945461946</v>
      </c>
      <c r="P70" s="35">
        <f>+(P10/37133)-1</f>
        <v>1.1173619152775158</v>
      </c>
    </row>
    <row r="71" spans="1:16" ht="11.25">
      <c r="A71" s="3" t="s">
        <v>64</v>
      </c>
      <c r="C71" s="33">
        <f aca="true" t="shared" si="25" ref="C71:I71">(C12/G12)-1</f>
        <v>0.3028503857571674</v>
      </c>
      <c r="D71" s="33">
        <f t="shared" si="25"/>
        <v>-0.14388903988864454</v>
      </c>
      <c r="E71" s="33">
        <f t="shared" si="25"/>
        <v>-0.11093371997360857</v>
      </c>
      <c r="F71" s="34">
        <f t="shared" si="25"/>
        <v>-0.21380246651396329</v>
      </c>
      <c r="G71" s="35">
        <f t="shared" si="25"/>
        <v>-0.11491451490134086</v>
      </c>
      <c r="H71" s="35">
        <f t="shared" si="25"/>
        <v>-0.13740382087770775</v>
      </c>
      <c r="I71" s="35">
        <f t="shared" si="25"/>
        <v>-0.019385913062926363</v>
      </c>
      <c r="J71" s="35">
        <f aca="true" t="shared" si="26" ref="J71:P71">SUM(J72:J73)</f>
        <v>0.21644861882530964</v>
      </c>
      <c r="K71" s="36">
        <f t="shared" si="26"/>
        <v>0.47887735552933797</v>
      </c>
      <c r="L71" s="33">
        <f t="shared" si="26"/>
        <v>0.6661694899203334</v>
      </c>
      <c r="M71" s="33">
        <f t="shared" si="26"/>
        <v>0.44605895398262807</v>
      </c>
      <c r="N71" s="33">
        <f t="shared" si="26"/>
        <v>0.5476639250628283</v>
      </c>
      <c r="O71" s="35">
        <f t="shared" si="26"/>
        <v>0.46226773448133973</v>
      </c>
      <c r="P71" s="35">
        <f t="shared" si="26"/>
        <v>2.038472636337405</v>
      </c>
    </row>
    <row r="72" spans="2:16" ht="11.25">
      <c r="B72" s="3" t="s">
        <v>15</v>
      </c>
      <c r="C72" s="33">
        <v>0</v>
      </c>
      <c r="D72" s="33">
        <v>0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0</v>
      </c>
      <c r="K72" s="36">
        <v>0</v>
      </c>
      <c r="L72" s="33">
        <v>0</v>
      </c>
      <c r="M72" s="33">
        <v>0</v>
      </c>
      <c r="N72" s="33">
        <v>0</v>
      </c>
      <c r="O72" s="35">
        <v>0</v>
      </c>
      <c r="P72" s="35">
        <v>0</v>
      </c>
    </row>
    <row r="73" spans="2:16" ht="11.25">
      <c r="B73" s="3" t="s">
        <v>16</v>
      </c>
      <c r="C73" s="33">
        <f aca="true" t="shared" si="27" ref="C73:I73">(C14/G14)-1</f>
        <v>0.3028503857571674</v>
      </c>
      <c r="D73" s="33">
        <f t="shared" si="27"/>
        <v>-0.14388903988864454</v>
      </c>
      <c r="E73" s="33">
        <f t="shared" si="27"/>
        <v>-0.11093371997360857</v>
      </c>
      <c r="F73" s="34">
        <f t="shared" si="27"/>
        <v>-0.21380246651396329</v>
      </c>
      <c r="G73" s="35">
        <f t="shared" si="27"/>
        <v>-0.11491451490134086</v>
      </c>
      <c r="H73" s="35">
        <f t="shared" si="27"/>
        <v>-0.13740382087770775</v>
      </c>
      <c r="I73" s="35">
        <f t="shared" si="27"/>
        <v>-0.019385913062926363</v>
      </c>
      <c r="J73" s="35">
        <f>+(J14/N14)-1</f>
        <v>0.21644861882530964</v>
      </c>
      <c r="K73" s="36">
        <f>+(K14/O14)-1</f>
        <v>0.47887735552933797</v>
      </c>
      <c r="L73" s="33">
        <f>+(L14/84477)-1</f>
        <v>0.6661694899203334</v>
      </c>
      <c r="M73" s="33">
        <f>+(M14/86576)-1</f>
        <v>0.44605895398262807</v>
      </c>
      <c r="N73" s="33">
        <f>+(N14/70032)-1</f>
        <v>0.5476639250628283</v>
      </c>
      <c r="O73" s="35">
        <f>+(O14/P14)-1</f>
        <v>0.46226773448133973</v>
      </c>
      <c r="P73" s="35">
        <f>+(P14/20794)-1</f>
        <v>2.038472636337405</v>
      </c>
    </row>
    <row r="74" spans="1:16" ht="11.25">
      <c r="A74" s="3" t="s">
        <v>65</v>
      </c>
      <c r="C74" s="33">
        <f aca="true" t="shared" si="28" ref="C74:I74">(C16/G16)-1</f>
        <v>1.804316833941606</v>
      </c>
      <c r="D74" s="33">
        <f t="shared" si="28"/>
        <v>0.8115872811770972</v>
      </c>
      <c r="E74" s="33">
        <f t="shared" si="28"/>
        <v>0.19045628584326768</v>
      </c>
      <c r="F74" s="34">
        <f t="shared" si="28"/>
        <v>0.5134330951501858</v>
      </c>
      <c r="G74" s="35">
        <f t="shared" si="28"/>
        <v>0.677002892868243</v>
      </c>
      <c r="H74" s="35">
        <f t="shared" si="28"/>
        <v>-0.10071692876965777</v>
      </c>
      <c r="I74" s="35">
        <f t="shared" si="28"/>
        <v>0.0013729134227400408</v>
      </c>
      <c r="J74" s="35">
        <f aca="true" t="shared" si="29" ref="J74:P74">SUM(J75:J76)</f>
        <v>-0.16258048088465316</v>
      </c>
      <c r="K74" s="36">
        <f t="shared" si="29"/>
        <v>-0.05907362832654717</v>
      </c>
      <c r="L74" s="33">
        <f t="shared" si="29"/>
        <v>0.5178777393310265</v>
      </c>
      <c r="M74" s="33">
        <f t="shared" si="29"/>
        <v>0.4555845295250165</v>
      </c>
      <c r="N74" s="33">
        <f t="shared" si="29"/>
        <v>0.5118235811702596</v>
      </c>
      <c r="O74" s="35">
        <f t="shared" si="29"/>
        <v>0.2994913470533209</v>
      </c>
      <c r="P74" s="35">
        <f t="shared" si="29"/>
        <v>0.7709670739283496</v>
      </c>
    </row>
    <row r="75" spans="2:16" ht="11.25">
      <c r="B75" s="3" t="s">
        <v>15</v>
      </c>
      <c r="C75" s="33">
        <v>0</v>
      </c>
      <c r="D75" s="33">
        <v>0</v>
      </c>
      <c r="E75" s="33">
        <v>0</v>
      </c>
      <c r="F75" s="34">
        <v>0</v>
      </c>
      <c r="G75" s="35">
        <v>0</v>
      </c>
      <c r="H75" s="35">
        <v>0</v>
      </c>
      <c r="I75" s="35">
        <v>0</v>
      </c>
      <c r="J75" s="35">
        <v>0</v>
      </c>
      <c r="K75" s="36">
        <v>0</v>
      </c>
      <c r="L75" s="33">
        <v>0</v>
      </c>
      <c r="M75" s="33">
        <v>0</v>
      </c>
      <c r="N75" s="33">
        <v>0</v>
      </c>
      <c r="O75" s="35">
        <v>0</v>
      </c>
      <c r="P75" s="35">
        <v>0</v>
      </c>
    </row>
    <row r="76" spans="2:16" ht="11.25">
      <c r="B76" s="3" t="s">
        <v>16</v>
      </c>
      <c r="C76" s="33">
        <f aca="true" t="shared" si="30" ref="C76:I76">(C21/G21)-1</f>
        <v>1.804316833941606</v>
      </c>
      <c r="D76" s="33">
        <f t="shared" si="30"/>
        <v>0.8115872811770972</v>
      </c>
      <c r="E76" s="33">
        <f t="shared" si="30"/>
        <v>0.19045628584326768</v>
      </c>
      <c r="F76" s="34">
        <f t="shared" si="30"/>
        <v>0.5134330951501858</v>
      </c>
      <c r="G76" s="35">
        <f t="shared" si="30"/>
        <v>0.677002892868243</v>
      </c>
      <c r="H76" s="35">
        <f t="shared" si="30"/>
        <v>-0.10071692876965777</v>
      </c>
      <c r="I76" s="35">
        <f t="shared" si="30"/>
        <v>0.0013729134227400408</v>
      </c>
      <c r="J76" s="35">
        <f>+(J21/N21)-1</f>
        <v>-0.16258048088465316</v>
      </c>
      <c r="K76" s="36">
        <f>+(K21/O21)-1</f>
        <v>-0.05907362832654717</v>
      </c>
      <c r="L76" s="33">
        <f>+(L21/39882)-1</f>
        <v>0.5178777393310265</v>
      </c>
      <c r="M76" s="33">
        <f>+(M21/41033)-1</f>
        <v>0.4555845295250165</v>
      </c>
      <c r="N76" s="33">
        <f>+(N21/36368)-1</f>
        <v>0.5118235811702596</v>
      </c>
      <c r="O76" s="35">
        <f>+(O21/P21)-1</f>
        <v>0.2994913470533209</v>
      </c>
      <c r="P76" s="35">
        <f>+(P21/19316)-1</f>
        <v>0.7709670739283496</v>
      </c>
    </row>
    <row r="77" spans="1:16" ht="11.25">
      <c r="A77" s="3" t="s">
        <v>66</v>
      </c>
      <c r="C77" s="33">
        <f aca="true" t="shared" si="31" ref="C77:I77">(C25/G25)-1</f>
        <v>0.471126050420168</v>
      </c>
      <c r="D77" s="33">
        <f t="shared" si="31"/>
        <v>0.13953953953953957</v>
      </c>
      <c r="E77" s="33">
        <f t="shared" si="31"/>
        <v>0.1584098272138228</v>
      </c>
      <c r="F77" s="34">
        <f t="shared" si="31"/>
        <v>0.15903515944399027</v>
      </c>
      <c r="G77" s="35">
        <f t="shared" si="31"/>
        <v>0.042469689536758004</v>
      </c>
      <c r="H77" s="35">
        <f t="shared" si="31"/>
        <v>0.08351409978308033</v>
      </c>
      <c r="I77" s="35">
        <f t="shared" si="31"/>
        <v>0.11457157902655535</v>
      </c>
      <c r="J77" s="33">
        <f>+(J25/N25)-1</f>
        <v>0.39678309698296377</v>
      </c>
      <c r="K77" s="36">
        <f>+(K25/O25)-1</f>
        <v>2.097915762049501</v>
      </c>
      <c r="L77" s="33">
        <f>+(L25/4038)-1</f>
        <v>2.424962852897474</v>
      </c>
      <c r="M77" s="33">
        <f>+(M25/3614)-1</f>
        <v>2.67819590481461</v>
      </c>
      <c r="N77" s="33">
        <f>+(N25/3137)-1</f>
        <v>2.3493783869939433</v>
      </c>
      <c r="O77" s="33">
        <f>+(O25/P25)-1</f>
        <v>0.5730874316939891</v>
      </c>
      <c r="P77" s="33">
        <f>+(P25/3022)-1</f>
        <v>-0.031105228325612133</v>
      </c>
    </row>
    <row r="78" spans="1:16" ht="11.25">
      <c r="A78" s="4" t="s">
        <v>67</v>
      </c>
      <c r="B78" s="4"/>
      <c r="C78" s="40">
        <f aca="true" t="shared" si="32" ref="C78:I78">(C40/G40)-1</f>
        <v>-0.8649093904448105</v>
      </c>
      <c r="D78" s="40">
        <f t="shared" si="32"/>
        <v>-0.5865921787709497</v>
      </c>
      <c r="E78" s="40">
        <f t="shared" si="32"/>
        <v>-0.4753199268738574</v>
      </c>
      <c r="F78" s="41">
        <f t="shared" si="32"/>
        <v>-0.6683046683046683</v>
      </c>
      <c r="G78" s="40">
        <f t="shared" si="32"/>
        <v>-0.7468723936613845</v>
      </c>
      <c r="H78" s="40">
        <f t="shared" si="32"/>
        <v>-0.634320735444331</v>
      </c>
      <c r="I78" s="40">
        <f t="shared" si="32"/>
        <v>-0.6150598170302604</v>
      </c>
      <c r="J78" s="40">
        <f>+(J40/N40)-1</f>
        <v>-0.360062893081761</v>
      </c>
      <c r="K78" s="42">
        <f>+(K40/O40)-1</f>
        <v>0.4940809968847353</v>
      </c>
      <c r="L78" s="40">
        <f>+(L40/1036)-1</f>
        <v>0.8899613899613901</v>
      </c>
      <c r="M78" s="40">
        <f>+(M40/612)-1</f>
        <v>1.3218954248366015</v>
      </c>
      <c r="N78" s="40">
        <f>+(N40/208)-1</f>
        <v>2.0576923076923075</v>
      </c>
      <c r="O78" s="40">
        <f>+(O40/P40)-1</f>
        <v>2.5274725274725274</v>
      </c>
      <c r="P78" s="40">
        <f>+(P40/736)-1</f>
        <v>-0.3817934782608695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2017-06-16T17:24:05Z</dcterms:created>
  <dcterms:modified xsi:type="dcterms:W3CDTF">2017-06-16T17:24:08Z</dcterms:modified>
  <cp:category/>
  <cp:version/>
  <cp:contentType/>
  <cp:contentStatus/>
</cp:coreProperties>
</file>