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Atlantic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<sst xmlns="http://schemas.openxmlformats.org/spreadsheetml/2006/main" count="89" uniqueCount="67">
  <si>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CUADRO No. 19-23</t>
  </si>
  <si>
    <t>ATLANTIC SECURITY BANK</t>
  </si>
  <si>
    <t>ESTADISTICA FINANCIERA.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</si>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</sst>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40">
    <font>
      <sz val="10"/>
      <name val="Arial"/>
      <family val="0"/>
    </font>
    <font>
      <b/>
      <sz val="7"/>
      <name val="Arial Narrow"/>
      <family val="2"/>
    </font>
    <font>
      <sz val="7"/>
      <name val="Arial"/>
      <family val="0"/>
    </font>
    <font>
      <sz val="7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201" fontId="1" fillId="0" borderId="0" xfId="46" applyNumberFormat="1" applyFont="1" applyAlignment="1">
      <alignment/>
    </xf>
    <xf numFmtId="0" fontId="3" fillId="0" borderId="0" xfId="0" applyFont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0" xfId="46" applyNumberFormat="1" applyFont="1" applyBorder="1" applyAlignment="1">
      <alignment/>
    </xf>
    <xf numFmtId="43" fontId="3" fillId="0" borderId="0" xfId="46" applyFont="1" applyBorder="1" applyAlignment="1">
      <alignment/>
    </xf>
    <xf numFmtId="43" fontId="3" fillId="0" borderId="10" xfId="46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201" fontId="5" fillId="0" borderId="16" xfId="46" applyNumberFormat="1" applyFont="1" applyBorder="1" applyAlignment="1">
      <alignment/>
    </xf>
    <xf numFmtId="201" fontId="5" fillId="0" borderId="0" xfId="46" applyNumberFormat="1" applyFont="1" applyBorder="1" applyAlignment="1">
      <alignment/>
    </xf>
    <xf numFmtId="0" fontId="4" fillId="0" borderId="0" xfId="0" applyFont="1" applyAlignment="1">
      <alignment/>
    </xf>
    <xf numFmtId="201" fontId="4" fillId="0" borderId="0" xfId="46" applyNumberFormat="1" applyFont="1" applyAlignment="1">
      <alignment/>
    </xf>
    <xf numFmtId="201" fontId="4" fillId="0" borderId="0" xfId="46" applyNumberFormat="1" applyFont="1" applyBorder="1" applyAlignment="1">
      <alignment/>
    </xf>
    <xf numFmtId="201" fontId="4" fillId="0" borderId="15" xfId="46" applyNumberFormat="1" applyFont="1" applyBorder="1" applyAlignment="1">
      <alignment/>
    </xf>
    <xf numFmtId="201" fontId="4" fillId="0" borderId="16" xfId="46" applyNumberFormat="1" applyFont="1" applyBorder="1" applyAlignment="1">
      <alignment/>
    </xf>
    <xf numFmtId="43" fontId="4" fillId="0" borderId="0" xfId="46" applyFont="1" applyAlignment="1">
      <alignment/>
    </xf>
    <xf numFmtId="201" fontId="4" fillId="0" borderId="0" xfId="46" applyNumberFormat="1" applyFont="1" applyFill="1" applyBorder="1" applyAlignment="1">
      <alignment/>
    </xf>
    <xf numFmtId="201" fontId="4" fillId="0" borderId="10" xfId="46" applyNumberFormat="1" applyFont="1" applyBorder="1" applyAlignment="1">
      <alignment/>
    </xf>
    <xf numFmtId="201" fontId="4" fillId="0" borderId="17" xfId="46" applyNumberFormat="1" applyFont="1" applyBorder="1" applyAlignment="1">
      <alignment/>
    </xf>
    <xf numFmtId="201" fontId="4" fillId="0" borderId="14" xfId="46" applyNumberFormat="1" applyFont="1" applyBorder="1" applyAlignment="1">
      <alignment/>
    </xf>
    <xf numFmtId="0" fontId="4" fillId="0" borderId="15" xfId="0" applyFont="1" applyBorder="1" applyAlignment="1">
      <alignment/>
    </xf>
    <xf numFmtId="201" fontId="4" fillId="0" borderId="11" xfId="46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8" xfId="0" applyFont="1" applyBorder="1" applyAlignment="1">
      <alignment/>
    </xf>
    <xf numFmtId="43" fontId="4" fillId="0" borderId="15" xfId="46" applyFont="1" applyBorder="1" applyAlignment="1">
      <alignment/>
    </xf>
    <xf numFmtId="43" fontId="4" fillId="0" borderId="0" xfId="46" applyFont="1" applyBorder="1" applyAlignment="1">
      <alignment/>
    </xf>
    <xf numFmtId="43" fontId="4" fillId="0" borderId="16" xfId="46" applyFont="1" applyBorder="1" applyAlignment="1">
      <alignment/>
    </xf>
    <xf numFmtId="201" fontId="4" fillId="0" borderId="10" xfId="0" applyNumberFormat="1" applyFont="1" applyBorder="1" applyAlignment="1">
      <alignment/>
    </xf>
    <xf numFmtId="201" fontId="4" fillId="0" borderId="17" xfId="0" applyNumberFormat="1" applyFont="1" applyBorder="1" applyAlignment="1">
      <alignment/>
    </xf>
    <xf numFmtId="43" fontId="4" fillId="0" borderId="10" xfId="46" applyFont="1" applyBorder="1" applyAlignment="1">
      <alignment/>
    </xf>
    <xf numFmtId="43" fontId="4" fillId="0" borderId="14" xfId="46" applyFont="1" applyBorder="1" applyAlignment="1">
      <alignment/>
    </xf>
    <xf numFmtId="0" fontId="4" fillId="0" borderId="19" xfId="0" applyFont="1" applyBorder="1" applyAlignment="1">
      <alignment/>
    </xf>
    <xf numFmtId="10" fontId="4" fillId="0" borderId="0" xfId="52" applyNumberFormat="1" applyFont="1" applyBorder="1" applyAlignment="1">
      <alignment/>
    </xf>
    <xf numFmtId="10" fontId="4" fillId="0" borderId="15" xfId="52" applyNumberFormat="1" applyFont="1" applyBorder="1" applyAlignment="1">
      <alignment/>
    </xf>
    <xf numFmtId="10" fontId="4" fillId="0" borderId="10" xfId="52" applyNumberFormat="1" applyFont="1" applyBorder="1" applyAlignment="1">
      <alignment/>
    </xf>
    <xf numFmtId="10" fontId="4" fillId="0" borderId="17" xfId="52" applyNumberFormat="1" applyFont="1" applyBorder="1" applyAlignment="1">
      <alignment/>
    </xf>
    <xf numFmtId="204" fontId="4" fillId="0" borderId="15" xfId="52" applyNumberFormat="1" applyFont="1" applyBorder="1" applyAlignment="1">
      <alignment/>
    </xf>
    <xf numFmtId="204" fontId="4" fillId="0" borderId="0" xfId="52" applyNumberFormat="1" applyFont="1" applyAlignment="1">
      <alignment/>
    </xf>
    <xf numFmtId="10" fontId="4" fillId="0" borderId="0" xfId="52" applyNumberFormat="1" applyFont="1" applyAlignment="1">
      <alignment/>
    </xf>
    <xf numFmtId="10" fontId="4" fillId="0" borderId="16" xfId="52" applyNumberFormat="1" applyFont="1" applyBorder="1" applyAlignment="1">
      <alignment/>
    </xf>
    <xf numFmtId="204" fontId="4" fillId="0" borderId="17" xfId="52" applyNumberFormat="1" applyFont="1" applyBorder="1" applyAlignment="1">
      <alignment/>
    </xf>
    <xf numFmtId="204" fontId="4" fillId="0" borderId="10" xfId="52" applyNumberFormat="1" applyFont="1" applyBorder="1" applyAlignment="1">
      <alignment/>
    </xf>
    <xf numFmtId="10" fontId="4" fillId="0" borderId="14" xfId="52" applyNumberFormat="1" applyFont="1" applyBorder="1" applyAlignment="1">
      <alignment/>
    </xf>
    <xf numFmtId="10" fontId="4" fillId="0" borderId="0" xfId="52" applyNumberFormat="1" applyFont="1" applyFill="1" applyBorder="1" applyAlignment="1">
      <alignment/>
    </xf>
    <xf numFmtId="10" fontId="4" fillId="0" borderId="16" xfId="52" applyNumberFormat="1" applyFont="1" applyFill="1" applyBorder="1" applyAlignment="1">
      <alignment/>
    </xf>
    <xf numFmtId="10" fontId="4" fillId="0" borderId="10" xfId="52" applyNumberFormat="1" applyFont="1" applyFill="1" applyBorder="1" applyAlignment="1">
      <alignment/>
    </xf>
    <xf numFmtId="10" fontId="4" fillId="0" borderId="14" xfId="52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" sqref="E6"/>
    </sheetView>
  </sheetViews>
  <sheetFormatPr defaultColWidth="11.421875" defaultRowHeight="12.75"/>
  <cols>
    <col min="1" max="1" width="3.57421875" style="29" customWidth="1"/>
    <col min="2" max="2" width="27.7109375" style="29" customWidth="1"/>
    <col min="3" max="3" width="9.421875" style="29" customWidth="1"/>
    <col min="4" max="4" width="7.7109375" style="29" bestFit="1" customWidth="1"/>
    <col min="5" max="5" width="6.57421875" style="29" customWidth="1"/>
    <col min="6" max="6" width="6.8515625" style="29" customWidth="1"/>
    <col min="7" max="7" width="7.421875" style="29" bestFit="1" customWidth="1"/>
    <col min="8" max="8" width="8.421875" style="29" customWidth="1"/>
    <col min="9" max="9" width="6.57421875" style="29" customWidth="1"/>
    <col min="10" max="10" width="7.140625" style="29" customWidth="1"/>
    <col min="11" max="11" width="7.00390625" style="29" bestFit="1" customWidth="1"/>
    <col min="12" max="12" width="8.421875" style="29" customWidth="1"/>
    <col min="13" max="13" width="6.57421875" style="29" customWidth="1"/>
    <col min="14" max="14" width="6.8515625" style="29" customWidth="1"/>
    <col min="15" max="15" width="5.7109375" style="2" hidden="1" customWidth="1"/>
    <col min="16" max="16" width="5.8515625" style="2" hidden="1" customWidth="1"/>
    <col min="17" max="16384" width="11.421875" style="2" customWidth="1"/>
  </cols>
  <sheetData>
    <row r="1" spans="2:16" ht="11.25">
      <c r="B1" s="1"/>
      <c r="C1" s="1"/>
      <c r="D1" s="1"/>
      <c r="E1" s="1"/>
      <c r="F1" s="1"/>
      <c r="G1" s="1"/>
      <c r="H1" s="67" t="s">
        <v>0</v>
      </c>
      <c r="I1" s="1"/>
      <c r="J1" s="1"/>
      <c r="K1" s="1"/>
      <c r="L1" s="1"/>
      <c r="M1" s="1"/>
      <c r="N1" s="1"/>
      <c r="O1" s="1"/>
      <c r="P1" s="1"/>
    </row>
    <row r="2" spans="2:16" ht="11.25">
      <c r="B2" s="1"/>
      <c r="C2" s="1"/>
      <c r="D2" s="1"/>
      <c r="E2" s="1"/>
      <c r="F2" s="1"/>
      <c r="G2" s="1"/>
      <c r="H2" s="67" t="s">
        <v>1</v>
      </c>
      <c r="I2" s="1"/>
      <c r="J2" s="1"/>
      <c r="K2" s="1"/>
      <c r="L2" s="1"/>
      <c r="M2" s="1"/>
      <c r="N2" s="1"/>
      <c r="O2" s="1"/>
      <c r="P2" s="1"/>
    </row>
    <row r="3" spans="2:16" ht="11.25">
      <c r="B3" s="1"/>
      <c r="C3" s="1"/>
      <c r="D3" s="1"/>
      <c r="E3" s="1"/>
      <c r="F3" s="1"/>
      <c r="G3" s="1"/>
      <c r="H3" s="67" t="s">
        <v>2</v>
      </c>
      <c r="I3" s="1"/>
      <c r="J3" s="1"/>
      <c r="K3" s="1"/>
      <c r="L3" s="1"/>
      <c r="M3" s="1"/>
      <c r="N3" s="1"/>
      <c r="O3" s="1"/>
      <c r="P3" s="1"/>
    </row>
    <row r="4" spans="2:16" ht="11.25">
      <c r="B4" s="3"/>
      <c r="C4" s="3"/>
      <c r="D4" s="3"/>
      <c r="E4" s="3"/>
      <c r="F4" s="3"/>
      <c r="G4" s="3"/>
      <c r="H4" s="68" t="s">
        <v>3</v>
      </c>
      <c r="I4" s="3"/>
      <c r="J4" s="3"/>
      <c r="K4" s="3"/>
      <c r="L4" s="3"/>
      <c r="M4" s="3"/>
      <c r="N4" s="3"/>
      <c r="O4" s="3"/>
      <c r="P4" s="3"/>
    </row>
    <row r="5" spans="2:16" ht="11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1.25">
      <c r="A6" s="17"/>
      <c r="B6" s="17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4"/>
      <c r="P6" s="4"/>
    </row>
    <row r="7" spans="1:16" ht="12.75" customHeight="1">
      <c r="A7" s="19"/>
      <c r="B7" s="19"/>
      <c r="C7" s="70">
        <v>2002</v>
      </c>
      <c r="D7" s="70"/>
      <c r="E7" s="70"/>
      <c r="F7" s="72"/>
      <c r="G7" s="70">
        <v>2001</v>
      </c>
      <c r="H7" s="70"/>
      <c r="I7" s="70"/>
      <c r="J7" s="70"/>
      <c r="K7" s="69">
        <v>2000</v>
      </c>
      <c r="L7" s="70"/>
      <c r="M7" s="70"/>
      <c r="N7" s="70"/>
      <c r="O7" s="71" t="s">
        <v>4</v>
      </c>
      <c r="P7" s="71"/>
    </row>
    <row r="8" spans="1:16" ht="11.25">
      <c r="A8" s="20"/>
      <c r="B8" s="20"/>
      <c r="C8" s="21" t="s">
        <v>5</v>
      </c>
      <c r="D8" s="21" t="s">
        <v>6</v>
      </c>
      <c r="E8" s="20" t="s">
        <v>7</v>
      </c>
      <c r="F8" s="22" t="s">
        <v>8</v>
      </c>
      <c r="G8" s="21" t="s">
        <v>5</v>
      </c>
      <c r="H8" s="21" t="s">
        <v>6</v>
      </c>
      <c r="I8" s="20" t="s">
        <v>7</v>
      </c>
      <c r="J8" s="20" t="s">
        <v>8</v>
      </c>
      <c r="K8" s="23" t="s">
        <v>5</v>
      </c>
      <c r="L8" s="20" t="s">
        <v>6</v>
      </c>
      <c r="M8" s="20" t="s">
        <v>7</v>
      </c>
      <c r="N8" s="21" t="s">
        <v>8</v>
      </c>
      <c r="O8" s="6" t="s">
        <v>9</v>
      </c>
      <c r="P8" s="6" t="s">
        <v>10</v>
      </c>
    </row>
    <row r="9" spans="1:16" ht="11.25">
      <c r="A9" s="24" t="s">
        <v>11</v>
      </c>
      <c r="B9" s="24"/>
      <c r="C9" s="24"/>
      <c r="D9" s="24"/>
      <c r="E9" s="25"/>
      <c r="F9" s="26"/>
      <c r="G9" s="24"/>
      <c r="H9" s="24"/>
      <c r="I9" s="24"/>
      <c r="J9" s="24"/>
      <c r="K9" s="27"/>
      <c r="L9" s="28"/>
      <c r="M9" s="28"/>
      <c r="N9" s="28"/>
      <c r="O9" s="7"/>
      <c r="P9" s="7"/>
    </row>
    <row r="10" spans="1:16" ht="11.25">
      <c r="A10" s="29" t="s">
        <v>12</v>
      </c>
      <c r="C10" s="30">
        <v>21282</v>
      </c>
      <c r="D10" s="30">
        <v>18030</v>
      </c>
      <c r="E10" s="31">
        <v>18230</v>
      </c>
      <c r="F10" s="32">
        <v>19782</v>
      </c>
      <c r="G10" s="30">
        <v>19882</v>
      </c>
      <c r="H10" s="30">
        <v>22993</v>
      </c>
      <c r="I10" s="30">
        <v>15768</v>
      </c>
      <c r="J10" s="30">
        <v>18656</v>
      </c>
      <c r="K10" s="33">
        <v>14461</v>
      </c>
      <c r="L10" s="31">
        <v>14757</v>
      </c>
      <c r="M10" s="31">
        <v>16824</v>
      </c>
      <c r="N10" s="31">
        <v>17432</v>
      </c>
      <c r="O10" s="9">
        <v>17539</v>
      </c>
      <c r="P10" s="9">
        <v>16244</v>
      </c>
    </row>
    <row r="11" spans="1:16" ht="11.25">
      <c r="A11" s="29" t="s">
        <v>13</v>
      </c>
      <c r="C11" s="30">
        <v>341</v>
      </c>
      <c r="D11" s="30">
        <v>306</v>
      </c>
      <c r="E11" s="31">
        <v>320</v>
      </c>
      <c r="F11" s="32">
        <v>279</v>
      </c>
      <c r="G11" s="30">
        <v>288</v>
      </c>
      <c r="H11" s="30">
        <v>248</v>
      </c>
      <c r="I11" s="30">
        <v>244</v>
      </c>
      <c r="J11" s="30">
        <v>220</v>
      </c>
      <c r="K11" s="33">
        <v>286</v>
      </c>
      <c r="L11" s="31">
        <v>347</v>
      </c>
      <c r="M11" s="31">
        <v>247</v>
      </c>
      <c r="N11" s="31">
        <v>235</v>
      </c>
      <c r="O11" s="9">
        <v>326</v>
      </c>
      <c r="P11" s="9">
        <v>186</v>
      </c>
    </row>
    <row r="12" spans="1:16" ht="11.25">
      <c r="A12" s="29" t="s">
        <v>14</v>
      </c>
      <c r="C12" s="31">
        <f aca="true" t="shared" si="0" ref="C12:P12">C13+C14</f>
        <v>20130</v>
      </c>
      <c r="D12" s="31">
        <f t="shared" si="0"/>
        <v>16836</v>
      </c>
      <c r="E12" s="31">
        <f t="shared" si="0"/>
        <v>17015</v>
      </c>
      <c r="F12" s="32">
        <f t="shared" si="0"/>
        <v>18584</v>
      </c>
      <c r="G12" s="30">
        <f t="shared" si="0"/>
        <v>18685</v>
      </c>
      <c r="H12" s="30">
        <f t="shared" si="0"/>
        <v>21740</v>
      </c>
      <c r="I12" s="30">
        <f t="shared" si="0"/>
        <v>14597</v>
      </c>
      <c r="J12" s="30">
        <f t="shared" si="0"/>
        <v>17176</v>
      </c>
      <c r="K12" s="33">
        <f t="shared" si="0"/>
        <v>13299</v>
      </c>
      <c r="L12" s="31">
        <f t="shared" si="0"/>
        <v>13299</v>
      </c>
      <c r="M12" s="31">
        <f t="shared" si="0"/>
        <v>15340</v>
      </c>
      <c r="N12" s="31">
        <f t="shared" si="0"/>
        <v>15898</v>
      </c>
      <c r="O12" s="9">
        <f t="shared" si="0"/>
        <v>15898</v>
      </c>
      <c r="P12" s="9">
        <f t="shared" si="0"/>
        <v>14715</v>
      </c>
    </row>
    <row r="13" spans="2:16" ht="11.25">
      <c r="B13" s="29" t="s">
        <v>15</v>
      </c>
      <c r="C13" s="31">
        <v>0</v>
      </c>
      <c r="D13" s="31">
        <v>0</v>
      </c>
      <c r="E13" s="31">
        <v>0</v>
      </c>
      <c r="F13" s="32">
        <v>0</v>
      </c>
      <c r="G13" s="34">
        <v>0</v>
      </c>
      <c r="H13" s="30">
        <v>0</v>
      </c>
      <c r="I13" s="30">
        <v>0</v>
      </c>
      <c r="J13" s="30">
        <v>0</v>
      </c>
      <c r="K13" s="33"/>
      <c r="L13" s="31"/>
      <c r="M13" s="31">
        <v>0</v>
      </c>
      <c r="N13" s="31">
        <v>0</v>
      </c>
      <c r="O13" s="9">
        <v>0</v>
      </c>
      <c r="P13" s="9">
        <v>0</v>
      </c>
    </row>
    <row r="14" spans="2:16" ht="11.25">
      <c r="B14" s="29" t="s">
        <v>16</v>
      </c>
      <c r="C14" s="30">
        <v>20130</v>
      </c>
      <c r="D14" s="30">
        <v>16836</v>
      </c>
      <c r="E14" s="31">
        <v>17015</v>
      </c>
      <c r="F14" s="32">
        <v>18584</v>
      </c>
      <c r="G14" s="30">
        <v>18685</v>
      </c>
      <c r="H14" s="30">
        <v>21740</v>
      </c>
      <c r="I14" s="30">
        <v>14597</v>
      </c>
      <c r="J14" s="30">
        <v>17176</v>
      </c>
      <c r="K14" s="33">
        <v>13299</v>
      </c>
      <c r="L14" s="31">
        <v>13299</v>
      </c>
      <c r="M14" s="31">
        <v>15340</v>
      </c>
      <c r="N14" s="31">
        <v>15898</v>
      </c>
      <c r="O14" s="9">
        <v>15898</v>
      </c>
      <c r="P14" s="9">
        <v>14715</v>
      </c>
    </row>
    <row r="15" spans="1:16" ht="11.25">
      <c r="A15" s="29" t="s">
        <v>17</v>
      </c>
      <c r="C15" s="30">
        <v>0</v>
      </c>
      <c r="D15" s="30">
        <v>0</v>
      </c>
      <c r="E15" s="31">
        <v>0</v>
      </c>
      <c r="F15" s="32">
        <v>0</v>
      </c>
      <c r="G15" s="34">
        <v>0</v>
      </c>
      <c r="H15" s="30">
        <v>0</v>
      </c>
      <c r="I15" s="30">
        <v>0</v>
      </c>
      <c r="J15" s="30"/>
      <c r="K15" s="33">
        <v>0</v>
      </c>
      <c r="L15" s="31">
        <v>0</v>
      </c>
      <c r="M15" s="31">
        <v>0</v>
      </c>
      <c r="N15" s="31">
        <v>0</v>
      </c>
      <c r="O15" s="9">
        <v>0</v>
      </c>
      <c r="P15" s="9">
        <v>0</v>
      </c>
    </row>
    <row r="16" spans="1:16" ht="11.25">
      <c r="A16" s="29" t="s">
        <v>18</v>
      </c>
      <c r="C16" s="31">
        <f aca="true" t="shared" si="1" ref="C16:P16">C17+C21</f>
        <v>17471</v>
      </c>
      <c r="D16" s="31">
        <f t="shared" si="1"/>
        <v>14375</v>
      </c>
      <c r="E16" s="31">
        <f t="shared" si="1"/>
        <v>14698</v>
      </c>
      <c r="F16" s="32">
        <f t="shared" si="1"/>
        <v>16356</v>
      </c>
      <c r="G16" s="30">
        <f t="shared" si="1"/>
        <v>16135</v>
      </c>
      <c r="H16" s="30">
        <f t="shared" si="1"/>
        <v>19242</v>
      </c>
      <c r="I16" s="30">
        <f t="shared" si="1"/>
        <v>12252</v>
      </c>
      <c r="J16" s="30">
        <f t="shared" si="1"/>
        <v>15028</v>
      </c>
      <c r="K16" s="33">
        <f t="shared" si="1"/>
        <v>10635</v>
      </c>
      <c r="L16" s="31">
        <f t="shared" si="1"/>
        <v>11016</v>
      </c>
      <c r="M16" s="31">
        <f t="shared" si="1"/>
        <v>13021</v>
      </c>
      <c r="N16" s="31">
        <f t="shared" si="1"/>
        <v>14088</v>
      </c>
      <c r="O16" s="9">
        <f t="shared" si="1"/>
        <v>13817</v>
      </c>
      <c r="P16" s="9">
        <f t="shared" si="1"/>
        <v>12682</v>
      </c>
    </row>
    <row r="17" spans="2:16" ht="11.25">
      <c r="B17" s="29" t="s">
        <v>15</v>
      </c>
      <c r="C17" s="31">
        <f>SUM(C18:C20)</f>
        <v>0</v>
      </c>
      <c r="D17" s="31">
        <f>SUM(D18:D20)</f>
        <v>0</v>
      </c>
      <c r="E17" s="31">
        <f>SUM(E18:E20)</f>
        <v>0</v>
      </c>
      <c r="F17" s="32">
        <v>0</v>
      </c>
      <c r="G17" s="30">
        <v>0</v>
      </c>
      <c r="H17" s="30">
        <v>0</v>
      </c>
      <c r="I17" s="30">
        <f aca="true" t="shared" si="2" ref="I17:P17">SUM(I18:I20)</f>
        <v>0</v>
      </c>
      <c r="J17" s="30">
        <f t="shared" si="2"/>
        <v>0</v>
      </c>
      <c r="K17" s="33">
        <f t="shared" si="2"/>
        <v>0</v>
      </c>
      <c r="L17" s="31">
        <f t="shared" si="2"/>
        <v>0</v>
      </c>
      <c r="M17" s="31">
        <f t="shared" si="2"/>
        <v>0</v>
      </c>
      <c r="N17" s="31">
        <f t="shared" si="2"/>
        <v>0</v>
      </c>
      <c r="O17" s="9">
        <f t="shared" si="2"/>
        <v>0</v>
      </c>
      <c r="P17" s="9">
        <f t="shared" si="2"/>
        <v>0</v>
      </c>
    </row>
    <row r="18" spans="2:16" ht="11.25">
      <c r="B18" s="29" t="s">
        <v>19</v>
      </c>
      <c r="C18" s="31">
        <v>0</v>
      </c>
      <c r="D18" s="31">
        <v>0</v>
      </c>
      <c r="E18" s="31">
        <v>0</v>
      </c>
      <c r="F18" s="32">
        <v>0</v>
      </c>
      <c r="G18" s="30">
        <v>0</v>
      </c>
      <c r="H18" s="30">
        <v>0</v>
      </c>
      <c r="I18" s="30">
        <v>0</v>
      </c>
      <c r="J18" s="30">
        <v>0</v>
      </c>
      <c r="K18" s="33">
        <v>0</v>
      </c>
      <c r="L18" s="31">
        <v>0</v>
      </c>
      <c r="M18" s="31">
        <v>0</v>
      </c>
      <c r="N18" s="31">
        <v>0</v>
      </c>
      <c r="O18" s="9">
        <v>0</v>
      </c>
      <c r="P18" s="9">
        <v>0</v>
      </c>
    </row>
    <row r="19" spans="2:16" ht="11.25">
      <c r="B19" s="29" t="s">
        <v>20</v>
      </c>
      <c r="C19" s="31">
        <v>0</v>
      </c>
      <c r="D19" s="31">
        <v>0</v>
      </c>
      <c r="E19" s="31">
        <v>0</v>
      </c>
      <c r="F19" s="32">
        <v>0</v>
      </c>
      <c r="G19" s="30">
        <v>0</v>
      </c>
      <c r="H19" s="30">
        <v>0</v>
      </c>
      <c r="I19" s="30">
        <v>0</v>
      </c>
      <c r="J19" s="30">
        <v>0</v>
      </c>
      <c r="K19" s="33">
        <v>0</v>
      </c>
      <c r="L19" s="31">
        <v>0</v>
      </c>
      <c r="M19" s="31">
        <v>0</v>
      </c>
      <c r="N19" s="31">
        <v>0</v>
      </c>
      <c r="O19" s="9">
        <v>0</v>
      </c>
      <c r="P19" s="9">
        <v>0</v>
      </c>
    </row>
    <row r="20" spans="2:16" ht="11.25">
      <c r="B20" s="29" t="s">
        <v>21</v>
      </c>
      <c r="C20" s="31">
        <v>0</v>
      </c>
      <c r="D20" s="31">
        <v>0</v>
      </c>
      <c r="E20" s="31">
        <v>0</v>
      </c>
      <c r="F20" s="32">
        <v>0</v>
      </c>
      <c r="G20" s="30">
        <v>0</v>
      </c>
      <c r="H20" s="30">
        <v>0</v>
      </c>
      <c r="I20" s="30">
        <v>0</v>
      </c>
      <c r="J20" s="30">
        <v>0</v>
      </c>
      <c r="K20" s="33">
        <v>0</v>
      </c>
      <c r="L20" s="31">
        <v>0</v>
      </c>
      <c r="M20" s="31">
        <v>0</v>
      </c>
      <c r="N20" s="31">
        <v>0</v>
      </c>
      <c r="O20" s="9">
        <v>0</v>
      </c>
      <c r="P20" s="9">
        <v>0</v>
      </c>
    </row>
    <row r="21" spans="2:16" ht="11.25">
      <c r="B21" s="29" t="s">
        <v>16</v>
      </c>
      <c r="C21" s="31">
        <f>SUM(C22:C24)</f>
        <v>17471</v>
      </c>
      <c r="D21" s="31">
        <f>SUM(D22:D24)</f>
        <v>14375</v>
      </c>
      <c r="E21" s="31">
        <f>SUM(E22:E24)</f>
        <v>14698</v>
      </c>
      <c r="F21" s="32">
        <f>SUM(F22:F24)</f>
        <v>16356</v>
      </c>
      <c r="G21" s="30">
        <f aca="true" t="shared" si="3" ref="G21:P21">SUM(G23:G24)</f>
        <v>16135</v>
      </c>
      <c r="H21" s="30">
        <f t="shared" si="3"/>
        <v>19242</v>
      </c>
      <c r="I21" s="30">
        <f t="shared" si="3"/>
        <v>12252</v>
      </c>
      <c r="J21" s="30">
        <f t="shared" si="3"/>
        <v>15028</v>
      </c>
      <c r="K21" s="33">
        <f t="shared" si="3"/>
        <v>10635</v>
      </c>
      <c r="L21" s="31">
        <f t="shared" si="3"/>
        <v>11016</v>
      </c>
      <c r="M21" s="31">
        <f t="shared" si="3"/>
        <v>13021</v>
      </c>
      <c r="N21" s="31">
        <f t="shared" si="3"/>
        <v>14088</v>
      </c>
      <c r="O21" s="9">
        <f t="shared" si="3"/>
        <v>13817</v>
      </c>
      <c r="P21" s="9">
        <f t="shared" si="3"/>
        <v>12682</v>
      </c>
    </row>
    <row r="22" spans="2:16" ht="11.25">
      <c r="B22" s="29" t="s">
        <v>19</v>
      </c>
      <c r="C22" s="31"/>
      <c r="D22" s="31"/>
      <c r="E22" s="31"/>
      <c r="F22" s="32"/>
      <c r="G22" s="30"/>
      <c r="H22" s="30"/>
      <c r="I22" s="30"/>
      <c r="J22" s="30"/>
      <c r="K22" s="33"/>
      <c r="L22" s="31"/>
      <c r="M22" s="31"/>
      <c r="N22" s="31"/>
      <c r="O22" s="9"/>
      <c r="P22" s="9"/>
    </row>
    <row r="23" spans="2:16" ht="11.25">
      <c r="B23" s="29" t="s">
        <v>20</v>
      </c>
      <c r="C23" s="30">
        <v>0</v>
      </c>
      <c r="D23" s="31">
        <v>0</v>
      </c>
      <c r="E23" s="31">
        <v>0</v>
      </c>
      <c r="F23" s="32">
        <v>0</v>
      </c>
      <c r="G23" s="34">
        <v>0</v>
      </c>
      <c r="H23" s="30">
        <v>0</v>
      </c>
      <c r="I23" s="30">
        <v>0</v>
      </c>
      <c r="J23" s="30">
        <v>0</v>
      </c>
      <c r="K23" s="33">
        <v>0</v>
      </c>
      <c r="L23" s="31">
        <v>0</v>
      </c>
      <c r="M23" s="31">
        <v>0</v>
      </c>
      <c r="N23" s="35">
        <v>0</v>
      </c>
      <c r="O23" s="9">
        <v>0</v>
      </c>
      <c r="P23" s="9">
        <v>0</v>
      </c>
    </row>
    <row r="24" spans="2:16" ht="11.25">
      <c r="B24" s="29" t="s">
        <v>21</v>
      </c>
      <c r="C24" s="30">
        <v>17471</v>
      </c>
      <c r="D24" s="30">
        <v>14375</v>
      </c>
      <c r="E24" s="31">
        <v>14698</v>
      </c>
      <c r="F24" s="32">
        <v>16356</v>
      </c>
      <c r="G24" s="30">
        <v>16135</v>
      </c>
      <c r="H24" s="30">
        <v>19242</v>
      </c>
      <c r="I24" s="30">
        <v>12252</v>
      </c>
      <c r="J24" s="30">
        <v>15028</v>
      </c>
      <c r="K24" s="33">
        <v>10635</v>
      </c>
      <c r="L24" s="31">
        <v>11016</v>
      </c>
      <c r="M24" s="31">
        <v>13021</v>
      </c>
      <c r="N24" s="31">
        <v>14088</v>
      </c>
      <c r="O24" s="9">
        <v>13817</v>
      </c>
      <c r="P24" s="9">
        <v>12682</v>
      </c>
    </row>
    <row r="25" spans="1:16" ht="11.25">
      <c r="A25" s="17" t="s">
        <v>22</v>
      </c>
      <c r="B25" s="17"/>
      <c r="C25" s="36">
        <v>3501</v>
      </c>
      <c r="D25" s="36">
        <v>3359</v>
      </c>
      <c r="E25" s="36">
        <v>3237</v>
      </c>
      <c r="F25" s="37">
        <v>3161</v>
      </c>
      <c r="G25" s="36">
        <v>3494</v>
      </c>
      <c r="H25" s="36">
        <v>3470</v>
      </c>
      <c r="I25" s="36">
        <v>3250</v>
      </c>
      <c r="J25" s="36">
        <v>3370</v>
      </c>
      <c r="K25" s="38">
        <v>3526</v>
      </c>
      <c r="L25" s="36">
        <v>3382</v>
      </c>
      <c r="M25" s="36">
        <v>3415</v>
      </c>
      <c r="N25" s="36">
        <v>3129</v>
      </c>
      <c r="O25" s="11">
        <v>3518</v>
      </c>
      <c r="P25" s="11">
        <v>3336</v>
      </c>
    </row>
    <row r="26" spans="1:16" ht="11.25">
      <c r="A26" s="24" t="s">
        <v>23</v>
      </c>
      <c r="C26" s="19"/>
      <c r="E26" s="31"/>
      <c r="F26" s="39"/>
      <c r="J26" s="30"/>
      <c r="K26" s="33"/>
      <c r="L26" s="31"/>
      <c r="M26" s="31"/>
      <c r="N26" s="31"/>
      <c r="O26" s="9"/>
      <c r="P26" s="9"/>
    </row>
    <row r="27" spans="1:16" ht="11.25">
      <c r="A27" s="29" t="s">
        <v>12</v>
      </c>
      <c r="C27" s="31">
        <f aca="true" t="shared" si="4" ref="C27:I27">(C10+G10)/2</f>
        <v>20582</v>
      </c>
      <c r="D27" s="31">
        <f t="shared" si="4"/>
        <v>20511.5</v>
      </c>
      <c r="E27" s="31">
        <f t="shared" si="4"/>
        <v>16999</v>
      </c>
      <c r="F27" s="32">
        <f t="shared" si="4"/>
        <v>19219</v>
      </c>
      <c r="G27" s="30">
        <f t="shared" si="4"/>
        <v>17171.5</v>
      </c>
      <c r="H27" s="30">
        <f t="shared" si="4"/>
        <v>18875</v>
      </c>
      <c r="I27" s="30">
        <f t="shared" si="4"/>
        <v>16296</v>
      </c>
      <c r="J27" s="30">
        <f>+(J10+N10)/2</f>
        <v>18044</v>
      </c>
      <c r="K27" s="33">
        <f>+(K10+O10)/2</f>
        <v>16000</v>
      </c>
      <c r="L27" s="31">
        <f>+(13666+L10)/2</f>
        <v>14211.5</v>
      </c>
      <c r="M27" s="31">
        <f>+(15857+M10)/2</f>
        <v>16340.5</v>
      </c>
      <c r="N27" s="31">
        <f>+(16324+N10)/2</f>
        <v>16878</v>
      </c>
      <c r="O27" s="9">
        <f>+(O10+P10)/2</f>
        <v>16891.5</v>
      </c>
      <c r="P27" s="9">
        <f>+(14602+P10)/2</f>
        <v>15423</v>
      </c>
    </row>
    <row r="28" spans="1:16" ht="11.25">
      <c r="A28" s="29" t="s">
        <v>24</v>
      </c>
      <c r="C28" s="31">
        <f aca="true" t="shared" si="5" ref="C28:P28">C29+C30</f>
        <v>19407.5</v>
      </c>
      <c r="D28" s="31">
        <f t="shared" si="5"/>
        <v>19288</v>
      </c>
      <c r="E28" s="31">
        <f t="shared" si="5"/>
        <v>15806</v>
      </c>
      <c r="F28" s="32">
        <f t="shared" si="5"/>
        <v>17880</v>
      </c>
      <c r="G28" s="30">
        <f t="shared" si="5"/>
        <v>15992</v>
      </c>
      <c r="H28" s="30">
        <f t="shared" si="5"/>
        <v>17519.5</v>
      </c>
      <c r="I28" s="30">
        <f t="shared" si="5"/>
        <v>14968.5</v>
      </c>
      <c r="J28" s="30">
        <f t="shared" si="5"/>
        <v>16537</v>
      </c>
      <c r="K28" s="33">
        <f t="shared" si="5"/>
        <v>14598.5</v>
      </c>
      <c r="L28" s="31">
        <f t="shared" si="5"/>
        <v>12711</v>
      </c>
      <c r="M28" s="31">
        <f t="shared" si="5"/>
        <v>14806.5</v>
      </c>
      <c r="N28" s="31">
        <f t="shared" si="5"/>
        <v>15306.5</v>
      </c>
      <c r="O28" s="9">
        <f t="shared" si="5"/>
        <v>15306.5</v>
      </c>
      <c r="P28" s="9">
        <f t="shared" si="5"/>
        <v>14350</v>
      </c>
    </row>
    <row r="29" spans="2:16" ht="11.25">
      <c r="B29" s="29" t="s">
        <v>14</v>
      </c>
      <c r="C29" s="31">
        <f aca="true" t="shared" si="6" ref="C29:I29">(C12+G12)/2</f>
        <v>19407.5</v>
      </c>
      <c r="D29" s="31">
        <f t="shared" si="6"/>
        <v>19288</v>
      </c>
      <c r="E29" s="31">
        <f t="shared" si="6"/>
        <v>15806</v>
      </c>
      <c r="F29" s="32">
        <f t="shared" si="6"/>
        <v>17880</v>
      </c>
      <c r="G29" s="30">
        <f t="shared" si="6"/>
        <v>15992</v>
      </c>
      <c r="H29" s="30">
        <f t="shared" si="6"/>
        <v>17519.5</v>
      </c>
      <c r="I29" s="30">
        <f t="shared" si="6"/>
        <v>14968.5</v>
      </c>
      <c r="J29" s="30">
        <f>+(J12+N12)/2</f>
        <v>16537</v>
      </c>
      <c r="K29" s="33">
        <f>+(K12+O12)/2</f>
        <v>14598.5</v>
      </c>
      <c r="L29" s="31">
        <f>+(12123+L12)/2</f>
        <v>12711</v>
      </c>
      <c r="M29" s="31">
        <f>+(14273+M12)/2</f>
        <v>14806.5</v>
      </c>
      <c r="N29" s="31">
        <f>+(14715+N12)/2</f>
        <v>15306.5</v>
      </c>
      <c r="O29" s="9">
        <f>+(O12+P12)/2</f>
        <v>15306.5</v>
      </c>
      <c r="P29" s="9">
        <f>+(13735+P12)/2</f>
        <v>14225</v>
      </c>
    </row>
    <row r="30" spans="2:16" ht="11.25">
      <c r="B30" s="29" t="s">
        <v>17</v>
      </c>
      <c r="C30" s="31">
        <f aca="true" t="shared" si="7" ref="C30:I30">(C15+G15)/2</f>
        <v>0</v>
      </c>
      <c r="D30" s="31">
        <f t="shared" si="7"/>
        <v>0</v>
      </c>
      <c r="E30" s="31">
        <f t="shared" si="7"/>
        <v>0</v>
      </c>
      <c r="F30" s="32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0</v>
      </c>
      <c r="J30" s="30">
        <f>+(J15+N15)/2</f>
        <v>0</v>
      </c>
      <c r="K30" s="33">
        <f>+(K15+O15)/2</f>
        <v>0</v>
      </c>
      <c r="L30" s="31">
        <v>0</v>
      </c>
      <c r="M30" s="31">
        <v>0</v>
      </c>
      <c r="N30" s="31">
        <v>0</v>
      </c>
      <c r="O30" s="9">
        <v>0</v>
      </c>
      <c r="P30" s="9">
        <f>+(250+P15)/2</f>
        <v>125</v>
      </c>
    </row>
    <row r="31" spans="1:16" ht="11.25">
      <c r="A31" s="17" t="s">
        <v>22</v>
      </c>
      <c r="B31" s="17"/>
      <c r="C31" s="36">
        <f aca="true" t="shared" si="8" ref="C31:I31">(C25+G25)/2</f>
        <v>3497.5</v>
      </c>
      <c r="D31" s="31">
        <f t="shared" si="8"/>
        <v>3414.5</v>
      </c>
      <c r="E31" s="31">
        <f t="shared" si="8"/>
        <v>3243.5</v>
      </c>
      <c r="F31" s="37">
        <f t="shared" si="8"/>
        <v>3265.5</v>
      </c>
      <c r="G31" s="36">
        <f t="shared" si="8"/>
        <v>3510</v>
      </c>
      <c r="H31" s="36">
        <f t="shared" si="8"/>
        <v>3426</v>
      </c>
      <c r="I31" s="36">
        <f t="shared" si="8"/>
        <v>3332.5</v>
      </c>
      <c r="J31" s="36">
        <f>+(J25+N25)/2</f>
        <v>3249.5</v>
      </c>
      <c r="K31" s="38">
        <f>+(K25+O25)/2</f>
        <v>3522</v>
      </c>
      <c r="L31" s="36">
        <f>+(3369+L25)/2</f>
        <v>3375.5</v>
      </c>
      <c r="M31" s="36">
        <f>+(3249+M25)/2</f>
        <v>3332</v>
      </c>
      <c r="N31" s="36">
        <f>+(3119+N25)/2</f>
        <v>3124</v>
      </c>
      <c r="O31" s="11">
        <f>+(O25+P25)/2</f>
        <v>3427</v>
      </c>
      <c r="P31" s="11">
        <f>+(1123+P25)/2</f>
        <v>2229.5</v>
      </c>
    </row>
    <row r="32" spans="1:16" ht="11.25">
      <c r="A32" s="24" t="s">
        <v>25</v>
      </c>
      <c r="D32" s="19"/>
      <c r="E32" s="40"/>
      <c r="F32" s="39"/>
      <c r="K32" s="41"/>
      <c r="L32" s="18"/>
      <c r="M32" s="18"/>
      <c r="N32" s="18"/>
      <c r="O32" s="8"/>
      <c r="P32" s="8"/>
    </row>
    <row r="33" spans="1:16" ht="11.25">
      <c r="A33" s="29" t="s">
        <v>26</v>
      </c>
      <c r="C33" s="29">
        <v>1585</v>
      </c>
      <c r="D33" s="31">
        <v>1242</v>
      </c>
      <c r="E33" s="31">
        <v>866</v>
      </c>
      <c r="F33" s="32">
        <v>482</v>
      </c>
      <c r="G33" s="30">
        <v>2041</v>
      </c>
      <c r="H33" s="30">
        <v>1553</v>
      </c>
      <c r="I33" s="30">
        <v>1101</v>
      </c>
      <c r="J33" s="30">
        <v>753</v>
      </c>
      <c r="K33" s="33">
        <v>1814</v>
      </c>
      <c r="L33" s="31">
        <v>1414</v>
      </c>
      <c r="M33" s="31">
        <v>965</v>
      </c>
      <c r="N33" s="31">
        <v>496</v>
      </c>
      <c r="O33" s="9">
        <v>1645</v>
      </c>
      <c r="P33" s="9">
        <v>1592</v>
      </c>
    </row>
    <row r="34" spans="1:16" ht="11.25">
      <c r="A34" s="29" t="s">
        <v>27</v>
      </c>
      <c r="C34" s="29">
        <v>717</v>
      </c>
      <c r="D34" s="31">
        <v>547</v>
      </c>
      <c r="E34" s="31">
        <v>373</v>
      </c>
      <c r="F34" s="32">
        <v>192</v>
      </c>
      <c r="G34" s="30">
        <v>592</v>
      </c>
      <c r="H34" s="30">
        <v>382</v>
      </c>
      <c r="I34" s="30">
        <v>242</v>
      </c>
      <c r="J34" s="30">
        <v>96</v>
      </c>
      <c r="K34" s="33">
        <v>612</v>
      </c>
      <c r="L34" s="31">
        <v>480</v>
      </c>
      <c r="M34" s="31">
        <v>328</v>
      </c>
      <c r="N34" s="31">
        <v>167</v>
      </c>
      <c r="O34" s="9">
        <v>554</v>
      </c>
      <c r="P34" s="9">
        <v>584</v>
      </c>
    </row>
    <row r="35" spans="1:16" ht="11.25">
      <c r="A35" s="29" t="s">
        <v>28</v>
      </c>
      <c r="C35" s="29">
        <f>+C33-C34</f>
        <v>868</v>
      </c>
      <c r="D35" s="31">
        <f>+D33-D34</f>
        <v>695</v>
      </c>
      <c r="E35" s="31">
        <f>+E33-E34</f>
        <v>493</v>
      </c>
      <c r="F35" s="32">
        <f>+F33-F34</f>
        <v>290</v>
      </c>
      <c r="G35" s="30">
        <f aca="true" t="shared" si="9" ref="G35:P35">G33-G34</f>
        <v>1449</v>
      </c>
      <c r="H35" s="30">
        <f t="shared" si="9"/>
        <v>1171</v>
      </c>
      <c r="I35" s="30">
        <f t="shared" si="9"/>
        <v>859</v>
      </c>
      <c r="J35" s="30">
        <f t="shared" si="9"/>
        <v>657</v>
      </c>
      <c r="K35" s="33">
        <f t="shared" si="9"/>
        <v>1202</v>
      </c>
      <c r="L35" s="31">
        <f t="shared" si="9"/>
        <v>934</v>
      </c>
      <c r="M35" s="31">
        <f t="shared" si="9"/>
        <v>637</v>
      </c>
      <c r="N35" s="31">
        <f t="shared" si="9"/>
        <v>329</v>
      </c>
      <c r="O35" s="9">
        <f t="shared" si="9"/>
        <v>1091</v>
      </c>
      <c r="P35" s="9">
        <f t="shared" si="9"/>
        <v>1008</v>
      </c>
    </row>
    <row r="36" spans="1:16" ht="11.25">
      <c r="A36" s="29" t="s">
        <v>29</v>
      </c>
      <c r="C36" s="29">
        <v>2374</v>
      </c>
      <c r="D36" s="31">
        <v>1693</v>
      </c>
      <c r="E36" s="31">
        <v>1078</v>
      </c>
      <c r="F36" s="32">
        <v>525</v>
      </c>
      <c r="G36" s="30">
        <v>1904</v>
      </c>
      <c r="H36" s="30">
        <v>1448</v>
      </c>
      <c r="I36" s="30">
        <v>806</v>
      </c>
      <c r="J36" s="30">
        <v>416</v>
      </c>
      <c r="K36" s="33">
        <v>2347</v>
      </c>
      <c r="L36" s="31">
        <v>1696</v>
      </c>
      <c r="M36" s="31">
        <v>1286</v>
      </c>
      <c r="N36" s="31">
        <v>543</v>
      </c>
      <c r="O36" s="9">
        <v>2273</v>
      </c>
      <c r="P36" s="9">
        <v>1676</v>
      </c>
    </row>
    <row r="37" spans="1:16" ht="11.25">
      <c r="A37" s="29" t="s">
        <v>30</v>
      </c>
      <c r="C37" s="29">
        <f>+C36+C35</f>
        <v>3242</v>
      </c>
      <c r="D37" s="31">
        <f>+D36+D35</f>
        <v>2388</v>
      </c>
      <c r="E37" s="31">
        <f>+E36+E35</f>
        <v>1571</v>
      </c>
      <c r="F37" s="32">
        <f>+F35+F36</f>
        <v>815</v>
      </c>
      <c r="G37" s="30">
        <f>+G36+G35</f>
        <v>3353</v>
      </c>
      <c r="H37" s="30">
        <f aca="true" t="shared" si="10" ref="H37:P37">H35+H36</f>
        <v>2619</v>
      </c>
      <c r="I37" s="30">
        <f t="shared" si="10"/>
        <v>1665</v>
      </c>
      <c r="J37" s="30">
        <f t="shared" si="10"/>
        <v>1073</v>
      </c>
      <c r="K37" s="33">
        <f t="shared" si="10"/>
        <v>3549</v>
      </c>
      <c r="L37" s="31">
        <f t="shared" si="10"/>
        <v>2630</v>
      </c>
      <c r="M37" s="31">
        <f t="shared" si="10"/>
        <v>1923</v>
      </c>
      <c r="N37" s="31">
        <f t="shared" si="10"/>
        <v>872</v>
      </c>
      <c r="O37" s="9">
        <f t="shared" si="10"/>
        <v>3364</v>
      </c>
      <c r="P37" s="9">
        <f t="shared" si="10"/>
        <v>2684</v>
      </c>
    </row>
    <row r="38" spans="1:16" ht="11.25">
      <c r="A38" s="29" t="s">
        <v>31</v>
      </c>
      <c r="C38" s="29">
        <v>2741</v>
      </c>
      <c r="D38" s="31">
        <v>2029</v>
      </c>
      <c r="E38" s="31">
        <v>1334</v>
      </c>
      <c r="F38" s="32">
        <v>654</v>
      </c>
      <c r="G38" s="30">
        <v>2858</v>
      </c>
      <c r="H38" s="30">
        <v>2148</v>
      </c>
      <c r="I38" s="30">
        <v>1415</v>
      </c>
      <c r="J38" s="30">
        <v>703</v>
      </c>
      <c r="K38" s="33">
        <v>3024</v>
      </c>
      <c r="L38" s="31">
        <v>2247</v>
      </c>
      <c r="M38" s="31">
        <v>1508</v>
      </c>
      <c r="N38" s="31">
        <v>741</v>
      </c>
      <c r="O38" s="9">
        <v>2846</v>
      </c>
      <c r="P38" s="9">
        <v>2349</v>
      </c>
    </row>
    <row r="39" spans="1:16" ht="11.25">
      <c r="A39" s="29" t="s">
        <v>32</v>
      </c>
      <c r="C39" s="29">
        <f>+C37-C38</f>
        <v>501</v>
      </c>
      <c r="D39" s="31">
        <f>+D37-D38</f>
        <v>359</v>
      </c>
      <c r="E39" s="31">
        <f>+E37-E38</f>
        <v>237</v>
      </c>
      <c r="F39" s="32">
        <f>+F37-F38</f>
        <v>161</v>
      </c>
      <c r="G39" s="30">
        <f>+G37-G38</f>
        <v>495</v>
      </c>
      <c r="H39" s="30">
        <f aca="true" t="shared" si="11" ref="H39:P39">H37-H38</f>
        <v>471</v>
      </c>
      <c r="I39" s="30">
        <f t="shared" si="11"/>
        <v>250</v>
      </c>
      <c r="J39" s="30">
        <f t="shared" si="11"/>
        <v>370</v>
      </c>
      <c r="K39" s="33">
        <f t="shared" si="11"/>
        <v>525</v>
      </c>
      <c r="L39" s="31">
        <f t="shared" si="11"/>
        <v>383</v>
      </c>
      <c r="M39" s="31">
        <f t="shared" si="11"/>
        <v>415</v>
      </c>
      <c r="N39" s="31">
        <f t="shared" si="11"/>
        <v>131</v>
      </c>
      <c r="O39" s="9">
        <f t="shared" si="11"/>
        <v>518</v>
      </c>
      <c r="P39" s="9">
        <f t="shared" si="11"/>
        <v>335</v>
      </c>
    </row>
    <row r="40" spans="1:16" ht="11.25">
      <c r="A40" s="17" t="s">
        <v>33</v>
      </c>
      <c r="B40" s="17"/>
      <c r="C40" s="17">
        <f>+C39</f>
        <v>501</v>
      </c>
      <c r="D40" s="36">
        <v>359</v>
      </c>
      <c r="E40" s="36">
        <v>237</v>
      </c>
      <c r="F40" s="37">
        <v>161</v>
      </c>
      <c r="G40" s="36">
        <v>495</v>
      </c>
      <c r="H40" s="36">
        <v>471</v>
      </c>
      <c r="I40" s="36">
        <v>250</v>
      </c>
      <c r="J40" s="36">
        <v>370</v>
      </c>
      <c r="K40" s="38">
        <v>525</v>
      </c>
      <c r="L40" s="36">
        <v>383</v>
      </c>
      <c r="M40" s="36">
        <v>415</v>
      </c>
      <c r="N40" s="36">
        <v>131</v>
      </c>
      <c r="O40" s="11">
        <v>518</v>
      </c>
      <c r="P40" s="11">
        <v>336</v>
      </c>
    </row>
    <row r="41" spans="1:16" ht="11.25">
      <c r="A41" s="42" t="s">
        <v>34</v>
      </c>
      <c r="B41" s="19"/>
      <c r="C41" s="18"/>
      <c r="E41" s="31"/>
      <c r="F41" s="39"/>
      <c r="G41" s="18"/>
      <c r="H41" s="18"/>
      <c r="I41" s="30"/>
      <c r="J41" s="19"/>
      <c r="K41" s="43"/>
      <c r="L41" s="19"/>
      <c r="M41" s="19"/>
      <c r="N41" s="18"/>
      <c r="O41" s="5"/>
      <c r="P41" s="5"/>
    </row>
    <row r="42" spans="1:16" ht="11.25">
      <c r="A42" s="18" t="s">
        <v>35</v>
      </c>
      <c r="B42" s="18"/>
      <c r="C42" s="31">
        <v>0</v>
      </c>
      <c r="D42" s="31">
        <v>0</v>
      </c>
      <c r="E42" s="31">
        <v>0</v>
      </c>
      <c r="F42" s="44">
        <v>0</v>
      </c>
      <c r="G42" s="45">
        <v>0</v>
      </c>
      <c r="H42" s="45">
        <v>0</v>
      </c>
      <c r="I42" s="30">
        <v>0</v>
      </c>
      <c r="J42" s="31">
        <v>0</v>
      </c>
      <c r="K42" s="33">
        <v>0</v>
      </c>
      <c r="L42" s="31">
        <v>0</v>
      </c>
      <c r="M42" s="31">
        <v>0</v>
      </c>
      <c r="N42" s="31">
        <v>0</v>
      </c>
      <c r="O42" s="10">
        <v>0</v>
      </c>
      <c r="P42" s="10">
        <v>0</v>
      </c>
    </row>
    <row r="43" spans="1:16" ht="11.25">
      <c r="A43" s="18" t="s">
        <v>36</v>
      </c>
      <c r="B43" s="18"/>
      <c r="C43" s="31">
        <v>0</v>
      </c>
      <c r="D43" s="31">
        <v>0</v>
      </c>
      <c r="E43" s="31">
        <v>0</v>
      </c>
      <c r="F43" s="44">
        <v>0</v>
      </c>
      <c r="G43" s="45">
        <v>0</v>
      </c>
      <c r="H43" s="45">
        <v>0</v>
      </c>
      <c r="I43" s="30">
        <v>0</v>
      </c>
      <c r="J43" s="31">
        <v>0</v>
      </c>
      <c r="K43" s="33">
        <v>0</v>
      </c>
      <c r="L43" s="31">
        <v>0</v>
      </c>
      <c r="M43" s="31">
        <v>0</v>
      </c>
      <c r="N43" s="31">
        <v>0</v>
      </c>
      <c r="O43" s="10">
        <v>0</v>
      </c>
      <c r="P43" s="10">
        <v>0</v>
      </c>
    </row>
    <row r="44" spans="1:16" ht="11.25">
      <c r="A44" s="18" t="s">
        <v>37</v>
      </c>
      <c r="B44" s="18"/>
      <c r="C44" s="45">
        <f>+C42/C12</f>
        <v>0</v>
      </c>
      <c r="D44" s="45">
        <f>+D42/D12</f>
        <v>0</v>
      </c>
      <c r="E44" s="45">
        <f>+E42/E12</f>
        <v>0</v>
      </c>
      <c r="F44" s="44">
        <f>+F42/F12</f>
        <v>0</v>
      </c>
      <c r="G44" s="45">
        <f>+G42/G12</f>
        <v>0</v>
      </c>
      <c r="H44" s="34">
        <v>0</v>
      </c>
      <c r="I44" s="34">
        <f>I42/I12</f>
        <v>0</v>
      </c>
      <c r="J44" s="45">
        <v>0</v>
      </c>
      <c r="K44" s="46">
        <v>0</v>
      </c>
      <c r="L44" s="45">
        <v>0</v>
      </c>
      <c r="M44" s="45">
        <v>0</v>
      </c>
      <c r="N44" s="45">
        <v>0</v>
      </c>
      <c r="O44" s="12">
        <v>0</v>
      </c>
      <c r="P44" s="12">
        <v>0</v>
      </c>
    </row>
    <row r="45" spans="1:16" ht="11.25">
      <c r="A45" s="18" t="s">
        <v>38</v>
      </c>
      <c r="B45" s="18"/>
      <c r="C45" s="45">
        <v>0</v>
      </c>
      <c r="D45" s="45">
        <v>0</v>
      </c>
      <c r="E45" s="45">
        <v>0</v>
      </c>
      <c r="F45" s="44">
        <v>0</v>
      </c>
      <c r="G45" s="45">
        <v>0</v>
      </c>
      <c r="H45" s="45">
        <v>0</v>
      </c>
      <c r="I45" s="45">
        <v>0</v>
      </c>
      <c r="J45" s="45">
        <v>0</v>
      </c>
      <c r="K45" s="46">
        <v>0</v>
      </c>
      <c r="L45" s="45">
        <v>0</v>
      </c>
      <c r="M45" s="45">
        <v>0</v>
      </c>
      <c r="N45" s="45">
        <v>0</v>
      </c>
      <c r="O45" s="12">
        <v>0</v>
      </c>
      <c r="P45" s="12">
        <v>0</v>
      </c>
    </row>
    <row r="46" spans="1:16" ht="11.25">
      <c r="A46" s="17" t="s">
        <v>39</v>
      </c>
      <c r="B46" s="17"/>
      <c r="C46" s="47">
        <f>+C43/C12</f>
        <v>0</v>
      </c>
      <c r="D46" s="47">
        <f>+D43/D12</f>
        <v>0</v>
      </c>
      <c r="E46" s="47">
        <f>+E43/E12</f>
        <v>0</v>
      </c>
      <c r="F46" s="48">
        <f>+F43/F12</f>
        <v>0</v>
      </c>
      <c r="G46" s="47">
        <f>+G43/G12</f>
        <v>0</v>
      </c>
      <c r="H46" s="49">
        <v>0</v>
      </c>
      <c r="I46" s="49">
        <f>I43/I12</f>
        <v>0</v>
      </c>
      <c r="J46" s="49">
        <v>0</v>
      </c>
      <c r="K46" s="50">
        <v>0</v>
      </c>
      <c r="L46" s="49">
        <v>0</v>
      </c>
      <c r="M46" s="49">
        <v>0</v>
      </c>
      <c r="N46" s="49">
        <v>0</v>
      </c>
      <c r="O46" s="13">
        <v>0</v>
      </c>
      <c r="P46" s="13">
        <v>0</v>
      </c>
    </row>
    <row r="47" spans="1:16" ht="11.25">
      <c r="A47" s="24" t="s">
        <v>40</v>
      </c>
      <c r="E47" s="31"/>
      <c r="F47" s="39"/>
      <c r="G47" s="19"/>
      <c r="H47" s="19"/>
      <c r="I47" s="19"/>
      <c r="J47" s="51"/>
      <c r="K47" s="19"/>
      <c r="L47" s="19"/>
      <c r="M47" s="19"/>
      <c r="N47" s="18"/>
      <c r="O47" s="5"/>
      <c r="P47" s="5"/>
    </row>
    <row r="48" spans="1:16" ht="11.25">
      <c r="A48" s="29" t="s">
        <v>41</v>
      </c>
      <c r="C48" s="52">
        <f>+C25/C12</f>
        <v>0.17391952309985098</v>
      </c>
      <c r="D48" s="52">
        <f>+D25/D12</f>
        <v>0.19951294844381087</v>
      </c>
      <c r="E48" s="52">
        <f>+E25/E12</f>
        <v>0.1902439024390244</v>
      </c>
      <c r="F48" s="53">
        <f aca="true" t="shared" si="12" ref="F48:P48">F25/F12</f>
        <v>0.1700925527335342</v>
      </c>
      <c r="G48" s="52">
        <f t="shared" si="12"/>
        <v>0.186994915707787</v>
      </c>
      <c r="H48" s="52">
        <f t="shared" si="12"/>
        <v>0.15961361545538177</v>
      </c>
      <c r="I48" s="52">
        <f t="shared" si="12"/>
        <v>0.22264848941563334</v>
      </c>
      <c r="J48" s="53">
        <f t="shared" si="12"/>
        <v>0.19620400558919424</v>
      </c>
      <c r="K48" s="52">
        <f t="shared" si="12"/>
        <v>0.26513271674561995</v>
      </c>
      <c r="L48" s="52">
        <f t="shared" si="12"/>
        <v>0.25430483494999623</v>
      </c>
      <c r="M48" s="52">
        <f t="shared" si="12"/>
        <v>0.2226205997392438</v>
      </c>
      <c r="N48" s="52">
        <f t="shared" si="12"/>
        <v>0.19681720971191344</v>
      </c>
      <c r="O48" s="14">
        <f t="shared" si="12"/>
        <v>0.22128569631400177</v>
      </c>
      <c r="P48" s="14">
        <f t="shared" si="12"/>
        <v>0.22670744138634047</v>
      </c>
    </row>
    <row r="49" spans="1:16" ht="11.25">
      <c r="A49" s="17" t="s">
        <v>42</v>
      </c>
      <c r="B49" s="17"/>
      <c r="C49" s="54">
        <f aca="true" t="shared" si="13" ref="C49:P49">C25/(C12+C15)</f>
        <v>0.17391952309985098</v>
      </c>
      <c r="D49" s="54">
        <f t="shared" si="13"/>
        <v>0.19951294844381087</v>
      </c>
      <c r="E49" s="54">
        <f t="shared" si="13"/>
        <v>0.1902439024390244</v>
      </c>
      <c r="F49" s="55">
        <f t="shared" si="13"/>
        <v>0.1700925527335342</v>
      </c>
      <c r="G49" s="54">
        <f t="shared" si="13"/>
        <v>0.186994915707787</v>
      </c>
      <c r="H49" s="54">
        <f t="shared" si="13"/>
        <v>0.15961361545538177</v>
      </c>
      <c r="I49" s="54">
        <f t="shared" si="13"/>
        <v>0.22264848941563334</v>
      </c>
      <c r="J49" s="55">
        <f t="shared" si="13"/>
        <v>0.19620400558919424</v>
      </c>
      <c r="K49" s="54">
        <f t="shared" si="13"/>
        <v>0.26513271674561995</v>
      </c>
      <c r="L49" s="54">
        <f t="shared" si="13"/>
        <v>0.25430483494999623</v>
      </c>
      <c r="M49" s="54">
        <f t="shared" si="13"/>
        <v>0.2226205997392438</v>
      </c>
      <c r="N49" s="54">
        <f t="shared" si="13"/>
        <v>0.19681720971191344</v>
      </c>
      <c r="O49" s="15">
        <f t="shared" si="13"/>
        <v>0.22128569631400177</v>
      </c>
      <c r="P49" s="15">
        <f t="shared" si="13"/>
        <v>0.22670744138634047</v>
      </c>
    </row>
    <row r="50" spans="1:16" ht="11.25">
      <c r="A50" s="24" t="s">
        <v>43</v>
      </c>
      <c r="C50" s="31"/>
      <c r="D50" s="31"/>
      <c r="E50" s="31"/>
      <c r="F50" s="39"/>
      <c r="K50" s="41"/>
      <c r="L50" s="18"/>
      <c r="M50" s="18"/>
      <c r="N50" s="18"/>
      <c r="O50" s="8"/>
      <c r="P50" s="8"/>
    </row>
    <row r="51" spans="1:16" ht="11.25">
      <c r="A51" s="29" t="s">
        <v>44</v>
      </c>
      <c r="C51" s="52">
        <f aca="true" t="shared" si="14" ref="C51:P51">C11/C16</f>
        <v>0.019518058496937784</v>
      </c>
      <c r="D51" s="52">
        <f t="shared" si="14"/>
        <v>0.02128695652173913</v>
      </c>
      <c r="E51" s="52">
        <f t="shared" si="14"/>
        <v>0.021771669614913593</v>
      </c>
      <c r="F51" s="56">
        <f t="shared" si="14"/>
        <v>0.01705796038151137</v>
      </c>
      <c r="G51" s="57">
        <f t="shared" si="14"/>
        <v>0.017849395723582274</v>
      </c>
      <c r="H51" s="57">
        <f t="shared" si="14"/>
        <v>0.012888473131691093</v>
      </c>
      <c r="I51" s="57">
        <f t="shared" si="14"/>
        <v>0.019915115899444988</v>
      </c>
      <c r="J51" s="58">
        <f t="shared" si="14"/>
        <v>0.01463933989885547</v>
      </c>
      <c r="K51" s="59">
        <f t="shared" si="14"/>
        <v>0.02689233662435355</v>
      </c>
      <c r="L51" s="52">
        <f t="shared" si="14"/>
        <v>0.031499636891793754</v>
      </c>
      <c r="M51" s="52">
        <f t="shared" si="14"/>
        <v>0.01896935719222794</v>
      </c>
      <c r="N51" s="52">
        <f t="shared" si="14"/>
        <v>0.016680863145939806</v>
      </c>
      <c r="O51" s="16">
        <f t="shared" si="14"/>
        <v>0.0235941231815879</v>
      </c>
      <c r="P51" s="16">
        <f t="shared" si="14"/>
        <v>0.014666456394890396</v>
      </c>
    </row>
    <row r="52" spans="1:16" ht="11.25">
      <c r="A52" s="29" t="s">
        <v>45</v>
      </c>
      <c r="C52" s="52">
        <f aca="true" t="shared" si="15" ref="C52:P52">C11/C10</f>
        <v>0.01602293017573536</v>
      </c>
      <c r="D52" s="52">
        <f t="shared" si="15"/>
        <v>0.01697171381031614</v>
      </c>
      <c r="E52" s="52">
        <f t="shared" si="15"/>
        <v>0.01755348326933626</v>
      </c>
      <c r="F52" s="56">
        <f t="shared" si="15"/>
        <v>0.014103730664240218</v>
      </c>
      <c r="G52" s="57">
        <f t="shared" si="15"/>
        <v>0.01448546423901016</v>
      </c>
      <c r="H52" s="57">
        <f t="shared" si="15"/>
        <v>0.010785891358239465</v>
      </c>
      <c r="I52" s="57">
        <f t="shared" si="15"/>
        <v>0.015474378488077117</v>
      </c>
      <c r="J52" s="58">
        <f t="shared" si="15"/>
        <v>0.01179245283018868</v>
      </c>
      <c r="K52" s="59">
        <f t="shared" si="15"/>
        <v>0.019777332134707143</v>
      </c>
      <c r="L52" s="52">
        <f t="shared" si="15"/>
        <v>0.0235142644168869</v>
      </c>
      <c r="M52" s="52">
        <f t="shared" si="15"/>
        <v>0.014681407513076557</v>
      </c>
      <c r="N52" s="52">
        <f t="shared" si="15"/>
        <v>0.013480954566314823</v>
      </c>
      <c r="O52" s="16">
        <f t="shared" si="15"/>
        <v>0.01858714864017333</v>
      </c>
      <c r="P52" s="16">
        <f t="shared" si="15"/>
        <v>0.011450381679389313</v>
      </c>
    </row>
    <row r="53" spans="1:16" ht="11.25">
      <c r="A53" s="17" t="s">
        <v>46</v>
      </c>
      <c r="B53" s="17"/>
      <c r="C53" s="54">
        <f aca="true" t="shared" si="16" ref="C53:P53">(C11+C15)/C16</f>
        <v>0.019518058496937784</v>
      </c>
      <c r="D53" s="54">
        <f t="shared" si="16"/>
        <v>0.02128695652173913</v>
      </c>
      <c r="E53" s="54">
        <f t="shared" si="16"/>
        <v>0.021771669614913593</v>
      </c>
      <c r="F53" s="60">
        <f t="shared" si="16"/>
        <v>0.01705796038151137</v>
      </c>
      <c r="G53" s="61">
        <f t="shared" si="16"/>
        <v>0.017849395723582274</v>
      </c>
      <c r="H53" s="61">
        <f t="shared" si="16"/>
        <v>0.012888473131691093</v>
      </c>
      <c r="I53" s="61">
        <f t="shared" si="16"/>
        <v>0.019915115899444988</v>
      </c>
      <c r="J53" s="54">
        <f t="shared" si="16"/>
        <v>0.01463933989885547</v>
      </c>
      <c r="K53" s="62">
        <f t="shared" si="16"/>
        <v>0.02689233662435355</v>
      </c>
      <c r="L53" s="54">
        <f t="shared" si="16"/>
        <v>0.031499636891793754</v>
      </c>
      <c r="M53" s="54">
        <f t="shared" si="16"/>
        <v>0.01896935719222794</v>
      </c>
      <c r="N53" s="54">
        <f t="shared" si="16"/>
        <v>0.016680863145939806</v>
      </c>
      <c r="O53" s="15">
        <f t="shared" si="16"/>
        <v>0.0235941231815879</v>
      </c>
      <c r="P53" s="15">
        <f t="shared" si="16"/>
        <v>0.014666456394890396</v>
      </c>
    </row>
    <row r="54" spans="1:16" ht="11.25">
      <c r="A54" s="24" t="s">
        <v>47</v>
      </c>
      <c r="D54" s="31"/>
      <c r="E54" s="31"/>
      <c r="F54" s="39"/>
      <c r="K54" s="41"/>
      <c r="L54" s="18"/>
      <c r="M54" s="18"/>
      <c r="N54" s="18"/>
      <c r="O54" s="8"/>
      <c r="P54" s="8"/>
    </row>
    <row r="55" spans="1:16" ht="11.25">
      <c r="A55" s="29" t="s">
        <v>48</v>
      </c>
      <c r="B55" s="18"/>
      <c r="C55" s="63">
        <f>C40/C28</f>
        <v>0.025814762334149168</v>
      </c>
      <c r="D55" s="52">
        <f>(D40/0.75)/D28</f>
        <v>0.02481681183464676</v>
      </c>
      <c r="E55" s="52">
        <f>(E40/0.5)/E28</f>
        <v>0.029988611919524233</v>
      </c>
      <c r="F55" s="53">
        <f>((F40)/0.25)/F28</f>
        <v>0.036017897091722595</v>
      </c>
      <c r="G55" s="63">
        <f>G40/G28</f>
        <v>0.030952976488244122</v>
      </c>
      <c r="H55" s="63">
        <f>(H40/0.75)/H28</f>
        <v>0.03584577185421958</v>
      </c>
      <c r="I55" s="58">
        <f>(I40/0.5)/I28</f>
        <v>0.03340348064268297</v>
      </c>
      <c r="J55" s="58">
        <f>((J40)/0.25)/J28</f>
        <v>0.08949628106669892</v>
      </c>
      <c r="K55" s="64">
        <f>K40/K28</f>
        <v>0.035962598897146966</v>
      </c>
      <c r="L55" s="63">
        <f>(L40/0.75)/L28</f>
        <v>0.040175176356436686</v>
      </c>
      <c r="M55" s="63">
        <f>(M40/0.5)/M28</f>
        <v>0.05605646168912302</v>
      </c>
      <c r="N55" s="52">
        <f>((N40)/0.25)/N28</f>
        <v>0.034233822232384935</v>
      </c>
      <c r="O55" s="16">
        <f>O40/O28</f>
        <v>0.03384183190147976</v>
      </c>
      <c r="P55" s="16">
        <f>P40/P28</f>
        <v>0.023414634146341463</v>
      </c>
    </row>
    <row r="56" spans="1:16" ht="11.25">
      <c r="A56" s="29" t="s">
        <v>49</v>
      </c>
      <c r="B56" s="18"/>
      <c r="C56" s="63">
        <f>C40/C27</f>
        <v>0.024341657759207075</v>
      </c>
      <c r="D56" s="52">
        <f>(D40/0.75)/D27</f>
        <v>0.02333650228733475</v>
      </c>
      <c r="E56" s="52">
        <f>(E40/0.5)/E27</f>
        <v>0.02788399317606918</v>
      </c>
      <c r="F56" s="53">
        <f>((F40)/0.25)/F27</f>
        <v>0.033508507206410326</v>
      </c>
      <c r="G56" s="63">
        <f>G40/G27</f>
        <v>0.028826835162915294</v>
      </c>
      <c r="H56" s="63">
        <f>(H40/0.75)/H27</f>
        <v>0.033271523178807945</v>
      </c>
      <c r="I56" s="58">
        <f>(I40/0.5)/I27</f>
        <v>0.030682376043200784</v>
      </c>
      <c r="J56" s="58">
        <f>((J40)/0.25)/J27</f>
        <v>0.0820217246730215</v>
      </c>
      <c r="K56" s="64">
        <f>K40/K27</f>
        <v>0.0328125</v>
      </c>
      <c r="L56" s="63">
        <f>(L40/0.75)/L27</f>
        <v>0.03593334036988824</v>
      </c>
      <c r="M56" s="63">
        <f>(M40/0.5)/M27</f>
        <v>0.05079403935008109</v>
      </c>
      <c r="N56" s="52">
        <f>((N40)/0.25)/N27</f>
        <v>0.03104633250385117</v>
      </c>
      <c r="O56" s="16">
        <f>O40/O27</f>
        <v>0.030666311458425837</v>
      </c>
      <c r="P56" s="16">
        <f>P40/P27</f>
        <v>0.02178564481618362</v>
      </c>
    </row>
    <row r="57" spans="1:16" ht="11.25">
      <c r="A57" s="29" t="s">
        <v>50</v>
      </c>
      <c r="B57" s="18"/>
      <c r="C57" s="63">
        <f>+C40/C31</f>
        <v>0.14324517512508936</v>
      </c>
      <c r="D57" s="52">
        <f>(D40/0.75)/D31</f>
        <v>0.14018645970615512</v>
      </c>
      <c r="E57" s="52">
        <f>(E40/0.5)/E31</f>
        <v>0.146138430707569</v>
      </c>
      <c r="F57" s="53">
        <f>((F40)/0.25)/F31</f>
        <v>0.19721329046087888</v>
      </c>
      <c r="G57" s="63">
        <f>+G40/G31</f>
        <v>0.14102564102564102</v>
      </c>
      <c r="H57" s="63">
        <f>(H40/0.75)/H31</f>
        <v>0.1833041447752481</v>
      </c>
      <c r="I57" s="58">
        <f>(I40/0.5)/I31</f>
        <v>0.15003750937734434</v>
      </c>
      <c r="J57" s="58">
        <f>((J40)/0.25)/J31</f>
        <v>0.4554546853362056</v>
      </c>
      <c r="K57" s="64">
        <f>+K40/K31</f>
        <v>0.14906303236797275</v>
      </c>
      <c r="L57" s="63">
        <f>(L40/0.75)/L31</f>
        <v>0.15128622920061227</v>
      </c>
      <c r="M57" s="63">
        <f>(M40/0.5)/M31</f>
        <v>0.24909963985594238</v>
      </c>
      <c r="N57" s="52">
        <f>((N40)/0.25)/N31</f>
        <v>0.1677336747759283</v>
      </c>
      <c r="O57" s="16">
        <f>O40/O31</f>
        <v>0.15115261161365626</v>
      </c>
      <c r="P57" s="16">
        <f>P40/P31</f>
        <v>0.15070643642072212</v>
      </c>
    </row>
    <row r="58" spans="1:16" ht="11.25">
      <c r="A58" s="29" t="s">
        <v>51</v>
      </c>
      <c r="B58" s="18"/>
      <c r="C58" s="63">
        <f>C33/C28</f>
        <v>0.0816694576838851</v>
      </c>
      <c r="D58" s="52">
        <f>(D33/0.75)/D28</f>
        <v>0.08585649108253837</v>
      </c>
      <c r="E58" s="52">
        <f>(E33/0.5)/E28</f>
        <v>0.10957864102239656</v>
      </c>
      <c r="F58" s="53">
        <f>((F33)/0.25)/F28</f>
        <v>0.10782997762863535</v>
      </c>
      <c r="G58" s="63">
        <f>G33/G28</f>
        <v>0.1276263131565783</v>
      </c>
      <c r="H58" s="63">
        <f>(H33/0.75)/H28</f>
        <v>0.11819210974438006</v>
      </c>
      <c r="I58" s="58">
        <f>(I33/0.5)/I28</f>
        <v>0.1471089287503758</v>
      </c>
      <c r="J58" s="58">
        <f>((J33)/0.25)/J28</f>
        <v>0.18213702606276833</v>
      </c>
      <c r="K58" s="64">
        <f>K33/K28</f>
        <v>0.12425934171318971</v>
      </c>
      <c r="L58" s="63">
        <f>(L33/0.75)/L28</f>
        <v>0.14832297485117876</v>
      </c>
      <c r="M58" s="63">
        <f>(M33/0.5)/M28</f>
        <v>0.13034815790362342</v>
      </c>
      <c r="N58" s="52">
        <f>((N33)/0.25)/N28</f>
        <v>0.12961813608597655</v>
      </c>
      <c r="O58" s="16">
        <f>O33/O28</f>
        <v>0.10747068238983438</v>
      </c>
      <c r="P58" s="16">
        <f>P33/P27</f>
        <v>0.10322245996239383</v>
      </c>
    </row>
    <row r="59" spans="1:16" ht="11.25">
      <c r="A59" s="29" t="s">
        <v>52</v>
      </c>
      <c r="B59" s="18"/>
      <c r="C59" s="63">
        <f>C34/C28</f>
        <v>0.036944480226716474</v>
      </c>
      <c r="D59" s="52">
        <f>(D34/0.75)/D28</f>
        <v>0.03781280243329186</v>
      </c>
      <c r="E59" s="52">
        <f>(E34/0.5)/E28</f>
        <v>0.047197266860685816</v>
      </c>
      <c r="F59" s="53">
        <f>((F34)/0.25)/F28</f>
        <v>0.042953020134228186</v>
      </c>
      <c r="G59" s="63">
        <f>G34/G28</f>
        <v>0.03701850925462731</v>
      </c>
      <c r="H59" s="63">
        <f>(H34/0.75)/H28</f>
        <v>0.029072366981553886</v>
      </c>
      <c r="I59" s="58">
        <f>(I34/0.5)/I28</f>
        <v>0.03233456926211711</v>
      </c>
      <c r="J59" s="58">
        <f>((J34)/0.25)/J28</f>
        <v>0.023220656709197558</v>
      </c>
      <c r="K59" s="64">
        <f>K34/K28</f>
        <v>0.04192211528581703</v>
      </c>
      <c r="L59" s="63">
        <f>(L34/0.75)/L28</f>
        <v>0.05035009047281882</v>
      </c>
      <c r="M59" s="63">
        <f>(M34/0.5)/M28</f>
        <v>0.04430486610610205</v>
      </c>
      <c r="N59" s="52">
        <f>((N34)/0.25)/N28</f>
        <v>0.04364159017410904</v>
      </c>
      <c r="O59" s="16">
        <f>O34/O28</f>
        <v>0.036193773886910786</v>
      </c>
      <c r="P59" s="16">
        <f>P34/P27</f>
        <v>0.037865525513842965</v>
      </c>
    </row>
    <row r="60" spans="1:16" ht="11.25">
      <c r="A60" s="29" t="s">
        <v>53</v>
      </c>
      <c r="B60" s="18"/>
      <c r="C60" s="63">
        <f>C35/C28</f>
        <v>0.04472497745716862</v>
      </c>
      <c r="D60" s="52">
        <f>(D35/0.75)/D28</f>
        <v>0.048043688649246505</v>
      </c>
      <c r="E60" s="52">
        <f>(E35/0.5)/E28</f>
        <v>0.062381374161710745</v>
      </c>
      <c r="F60" s="53">
        <f>((F35)/0.25)/F28</f>
        <v>0.06487695749440715</v>
      </c>
      <c r="G60" s="63">
        <f>G35/G28</f>
        <v>0.09060780390195097</v>
      </c>
      <c r="H60" s="63">
        <f>(H35/0.75)/H28</f>
        <v>0.08911974276282618</v>
      </c>
      <c r="I60" s="58">
        <f>(I35/0.5)/I28</f>
        <v>0.11477435948825868</v>
      </c>
      <c r="J60" s="58">
        <f>((J35)/0.25)/J28</f>
        <v>0.15891636935357079</v>
      </c>
      <c r="K60" s="64">
        <f>K35/K28</f>
        <v>0.08233722642737268</v>
      </c>
      <c r="L60" s="63">
        <f>(L35/0.75)/L28</f>
        <v>0.09797288437835995</v>
      </c>
      <c r="M60" s="63">
        <f>(M35/0.5)/M28</f>
        <v>0.08604329179752136</v>
      </c>
      <c r="N60" s="52">
        <f>((N35)/0.25)/N28</f>
        <v>0.08597654591186751</v>
      </c>
      <c r="O60" s="16">
        <f>O35/O28</f>
        <v>0.07127690850292359</v>
      </c>
      <c r="P60" s="16">
        <f>P35/P27</f>
        <v>0.06535693444855087</v>
      </c>
    </row>
    <row r="61" spans="1:16" ht="11.25">
      <c r="A61" s="29" t="s">
        <v>54</v>
      </c>
      <c r="B61" s="18"/>
      <c r="C61" s="63">
        <f>C38/C37</f>
        <v>0.8454657618753856</v>
      </c>
      <c r="D61" s="52">
        <f>(D38/0.75)/(D37/0.75)</f>
        <v>0.8496649916247907</v>
      </c>
      <c r="E61" s="52">
        <f>(E38/0.5)/(E37/0.5)</f>
        <v>0.8491406747294716</v>
      </c>
      <c r="F61" s="53">
        <f>(F38/0.25)/(F37/0.25)</f>
        <v>0.8024539877300614</v>
      </c>
      <c r="G61" s="63">
        <f>G38/G37</f>
        <v>0.8523710110348941</v>
      </c>
      <c r="H61" s="63">
        <f>(H38/0.75)/(H37/0.75)</f>
        <v>0.8201603665521191</v>
      </c>
      <c r="I61" s="58">
        <f>(I38/0.5)/(I37/0.5)</f>
        <v>0.8498498498498499</v>
      </c>
      <c r="J61" s="58">
        <f>(J38/0.25)/(J37/0.25)</f>
        <v>0.6551724137931034</v>
      </c>
      <c r="K61" s="64">
        <f>K38/K37</f>
        <v>0.8520710059171598</v>
      </c>
      <c r="L61" s="63">
        <f>(L38/0.75)/(L37/0.75)</f>
        <v>0.8543726235741446</v>
      </c>
      <c r="M61" s="63">
        <f>(M38/0.5)/(M37/0.5)</f>
        <v>0.7841913676547062</v>
      </c>
      <c r="N61" s="52">
        <f>(N38/0.25)/(N37/0.25)</f>
        <v>0.8497706422018348</v>
      </c>
      <c r="O61" s="16">
        <f>O38/O37</f>
        <v>0.8460166468489893</v>
      </c>
      <c r="P61" s="16">
        <f>P38/P37</f>
        <v>0.8751862891207154</v>
      </c>
    </row>
    <row r="62" spans="1:16" ht="11.25">
      <c r="A62" s="17" t="s">
        <v>55</v>
      </c>
      <c r="B62" s="17"/>
      <c r="C62" s="65">
        <f>C36/C28</f>
        <v>0.12232384387479067</v>
      </c>
      <c r="D62" s="54">
        <f>(D36/0.75)/D28</f>
        <v>0.11703304299737316</v>
      </c>
      <c r="E62" s="54">
        <f>(E36/0.5)/E28</f>
        <v>0.13640389725420726</v>
      </c>
      <c r="F62" s="55">
        <f>(F36/0.25)/F28</f>
        <v>0.1174496644295302</v>
      </c>
      <c r="G62" s="65">
        <f>G36/G28</f>
        <v>0.11905952976488245</v>
      </c>
      <c r="H62" s="65">
        <f>(H36/0.75)/H28</f>
        <v>0.11020101410808908</v>
      </c>
      <c r="I62" s="54">
        <f>(I36/0.5)/I28</f>
        <v>0.1076928215920099</v>
      </c>
      <c r="J62" s="54">
        <f>(J36/0.25)/J28</f>
        <v>0.10062284573985608</v>
      </c>
      <c r="K62" s="66">
        <f>K36/K28</f>
        <v>0.16076994211734083</v>
      </c>
      <c r="L62" s="65">
        <f>(L36/0.75)/L28</f>
        <v>0.17790365300395983</v>
      </c>
      <c r="M62" s="65">
        <f>(M36/0.5)/M28</f>
        <v>0.17370749333063182</v>
      </c>
      <c r="N62" s="54">
        <f>(N36/0.25)/N28</f>
        <v>0.1419004997876719</v>
      </c>
      <c r="O62" s="15">
        <f>O36/O28</f>
        <v>0.14849900369124228</v>
      </c>
      <c r="P62" s="15">
        <f>P36/P27</f>
        <v>0.10866887116643974</v>
      </c>
    </row>
    <row r="63" spans="1:16" ht="11.25">
      <c r="A63" s="24" t="s">
        <v>56</v>
      </c>
      <c r="E63" s="31"/>
      <c r="F63" s="39"/>
      <c r="K63" s="41"/>
      <c r="L63" s="18"/>
      <c r="M63" s="18"/>
      <c r="N63" s="18"/>
      <c r="O63" s="8"/>
      <c r="P63" s="8"/>
    </row>
    <row r="64" spans="1:16" ht="11.25">
      <c r="A64" s="29" t="s">
        <v>57</v>
      </c>
      <c r="C64" s="29">
        <v>56</v>
      </c>
      <c r="D64" s="30">
        <v>56</v>
      </c>
      <c r="E64" s="31">
        <v>55</v>
      </c>
      <c r="F64" s="32">
        <v>55</v>
      </c>
      <c r="G64" s="30">
        <v>58</v>
      </c>
      <c r="H64" s="30">
        <v>58</v>
      </c>
      <c r="I64" s="30">
        <v>60</v>
      </c>
      <c r="J64" s="30">
        <v>58</v>
      </c>
      <c r="K64" s="33">
        <v>58</v>
      </c>
      <c r="L64" s="31">
        <v>59</v>
      </c>
      <c r="M64" s="31">
        <v>60</v>
      </c>
      <c r="N64" s="31">
        <v>60</v>
      </c>
      <c r="O64" s="9">
        <v>60</v>
      </c>
      <c r="P64" s="9">
        <v>60</v>
      </c>
    </row>
    <row r="65" spans="1:16" ht="11.25">
      <c r="A65" s="29" t="s">
        <v>58</v>
      </c>
      <c r="C65" s="29">
        <v>1</v>
      </c>
      <c r="D65" s="30">
        <v>1</v>
      </c>
      <c r="E65" s="31">
        <v>1</v>
      </c>
      <c r="F65" s="32">
        <v>1</v>
      </c>
      <c r="G65" s="30">
        <v>1</v>
      </c>
      <c r="H65" s="30">
        <v>1</v>
      </c>
      <c r="I65" s="30">
        <v>1</v>
      </c>
      <c r="J65" s="30">
        <v>1</v>
      </c>
      <c r="K65" s="33">
        <v>1</v>
      </c>
      <c r="L65" s="31">
        <v>1</v>
      </c>
      <c r="M65" s="31">
        <v>1</v>
      </c>
      <c r="N65" s="31">
        <v>1</v>
      </c>
      <c r="O65" s="9">
        <v>1</v>
      </c>
      <c r="P65" s="9">
        <v>1</v>
      </c>
    </row>
    <row r="66" spans="1:16" ht="11.25">
      <c r="A66" s="29" t="s">
        <v>59</v>
      </c>
      <c r="C66" s="31">
        <f aca="true" t="shared" si="17" ref="C66:P66">C12/C64</f>
        <v>359.4642857142857</v>
      </c>
      <c r="D66" s="31">
        <f t="shared" si="17"/>
        <v>300.64285714285717</v>
      </c>
      <c r="E66" s="31">
        <f t="shared" si="17"/>
        <v>309.3636363636364</v>
      </c>
      <c r="F66" s="32">
        <f t="shared" si="17"/>
        <v>337.8909090909091</v>
      </c>
      <c r="G66" s="30">
        <f t="shared" si="17"/>
        <v>322.1551724137931</v>
      </c>
      <c r="H66" s="30">
        <f t="shared" si="17"/>
        <v>374.82758620689657</v>
      </c>
      <c r="I66" s="30">
        <f t="shared" si="17"/>
        <v>243.28333333333333</v>
      </c>
      <c r="J66" s="30">
        <f t="shared" si="17"/>
        <v>296.13793103448273</v>
      </c>
      <c r="K66" s="33">
        <f t="shared" si="17"/>
        <v>229.29310344827587</v>
      </c>
      <c r="L66" s="31">
        <f t="shared" si="17"/>
        <v>225.40677966101694</v>
      </c>
      <c r="M66" s="31">
        <f t="shared" si="17"/>
        <v>255.66666666666666</v>
      </c>
      <c r="N66" s="31">
        <f t="shared" si="17"/>
        <v>264.96666666666664</v>
      </c>
      <c r="O66" s="9">
        <f t="shared" si="17"/>
        <v>264.96666666666664</v>
      </c>
      <c r="P66" s="9">
        <f t="shared" si="17"/>
        <v>245.25</v>
      </c>
    </row>
    <row r="67" spans="1:16" ht="11.25">
      <c r="A67" s="29" t="s">
        <v>60</v>
      </c>
      <c r="C67" s="31">
        <f aca="true" t="shared" si="18" ref="C67:P67">+C16/C64</f>
        <v>311.98214285714283</v>
      </c>
      <c r="D67" s="31">
        <f t="shared" si="18"/>
        <v>256.69642857142856</v>
      </c>
      <c r="E67" s="31">
        <f t="shared" si="18"/>
        <v>267.23636363636365</v>
      </c>
      <c r="F67" s="32">
        <f t="shared" si="18"/>
        <v>297.3818181818182</v>
      </c>
      <c r="G67" s="30">
        <f t="shared" si="18"/>
        <v>278.1896551724138</v>
      </c>
      <c r="H67" s="30">
        <f t="shared" si="18"/>
        <v>331.7586206896552</v>
      </c>
      <c r="I67" s="30">
        <f t="shared" si="18"/>
        <v>204.2</v>
      </c>
      <c r="J67" s="30">
        <f t="shared" si="18"/>
        <v>259.1034482758621</v>
      </c>
      <c r="K67" s="33">
        <f t="shared" si="18"/>
        <v>183.36206896551724</v>
      </c>
      <c r="L67" s="31">
        <f t="shared" si="18"/>
        <v>186.71186440677965</v>
      </c>
      <c r="M67" s="31">
        <f t="shared" si="18"/>
        <v>217.01666666666668</v>
      </c>
      <c r="N67" s="31">
        <f t="shared" si="18"/>
        <v>234.8</v>
      </c>
      <c r="O67" s="9">
        <f t="shared" si="18"/>
        <v>230.28333333333333</v>
      </c>
      <c r="P67" s="9">
        <f t="shared" si="18"/>
        <v>211.36666666666667</v>
      </c>
    </row>
    <row r="68" spans="1:16" ht="11.25">
      <c r="A68" s="17" t="s">
        <v>61</v>
      </c>
      <c r="B68" s="17"/>
      <c r="C68" s="36">
        <f aca="true" t="shared" si="19" ref="C68:P68">+C40/C64</f>
        <v>8.946428571428571</v>
      </c>
      <c r="D68" s="36">
        <f t="shared" si="19"/>
        <v>6.410714285714286</v>
      </c>
      <c r="E68" s="36">
        <f t="shared" si="19"/>
        <v>4.3090909090909095</v>
      </c>
      <c r="F68" s="37">
        <f t="shared" si="19"/>
        <v>2.9272727272727272</v>
      </c>
      <c r="G68" s="36">
        <f t="shared" si="19"/>
        <v>8.53448275862069</v>
      </c>
      <c r="H68" s="36">
        <f t="shared" si="19"/>
        <v>8.120689655172415</v>
      </c>
      <c r="I68" s="36">
        <f t="shared" si="19"/>
        <v>4.166666666666667</v>
      </c>
      <c r="J68" s="36">
        <f t="shared" si="19"/>
        <v>6.379310344827586</v>
      </c>
      <c r="K68" s="38">
        <f t="shared" si="19"/>
        <v>9.051724137931034</v>
      </c>
      <c r="L68" s="36">
        <f t="shared" si="19"/>
        <v>6.491525423728813</v>
      </c>
      <c r="M68" s="36">
        <f t="shared" si="19"/>
        <v>6.916666666666667</v>
      </c>
      <c r="N68" s="36">
        <f t="shared" si="19"/>
        <v>2.183333333333333</v>
      </c>
      <c r="O68" s="11">
        <f t="shared" si="19"/>
        <v>8.633333333333333</v>
      </c>
      <c r="P68" s="11">
        <f t="shared" si="19"/>
        <v>5.6</v>
      </c>
    </row>
    <row r="69" spans="1:16" ht="11.25">
      <c r="A69" s="24" t="s">
        <v>62</v>
      </c>
      <c r="E69" s="31"/>
      <c r="F69" s="39"/>
      <c r="K69" s="41"/>
      <c r="L69" s="18"/>
      <c r="M69" s="18"/>
      <c r="N69" s="18"/>
      <c r="O69" s="8"/>
      <c r="P69" s="8"/>
    </row>
    <row r="70" spans="1:16" ht="11.25">
      <c r="A70" s="29" t="s">
        <v>63</v>
      </c>
      <c r="C70" s="52">
        <f aca="true" t="shared" si="20" ref="C70:I70">(C10/G10)-1</f>
        <v>0.07041545116185488</v>
      </c>
      <c r="D70" s="52">
        <f t="shared" si="20"/>
        <v>-0.21584830165702606</v>
      </c>
      <c r="E70" s="52">
        <f t="shared" si="20"/>
        <v>0.15613901572805688</v>
      </c>
      <c r="F70" s="53">
        <f t="shared" si="20"/>
        <v>0.06035591766723836</v>
      </c>
      <c r="G70" s="58">
        <f t="shared" si="20"/>
        <v>0.37487034091694893</v>
      </c>
      <c r="H70" s="58">
        <f t="shared" si="20"/>
        <v>0.558108016534526</v>
      </c>
      <c r="I70" s="58">
        <f t="shared" si="20"/>
        <v>-0.06276747503566338</v>
      </c>
      <c r="J70" s="58">
        <f>+(J10/N10)-1</f>
        <v>0.07021569527306104</v>
      </c>
      <c r="K70" s="59">
        <f>+(K10/O10)-1</f>
        <v>-0.17549461200752603</v>
      </c>
      <c r="L70" s="52">
        <f>+(L10/13666)-1</f>
        <v>0.07983316259329731</v>
      </c>
      <c r="M70" s="52">
        <f>+(M10/15857)-1</f>
        <v>0.060982531374156546</v>
      </c>
      <c r="N70" s="52">
        <f>+(N10/16324)-1</f>
        <v>0.06787552070570935</v>
      </c>
      <c r="O70" s="16">
        <f>+(O10/P10)-1</f>
        <v>0.07972174341295246</v>
      </c>
      <c r="P70" s="16">
        <f>+(P10/14602)-1</f>
        <v>0.11245034926722375</v>
      </c>
    </row>
    <row r="71" spans="1:16" ht="11.25">
      <c r="A71" s="29" t="s">
        <v>64</v>
      </c>
      <c r="C71" s="52">
        <f aca="true" t="shared" si="21" ref="C71:I71">(C12/G12)-1</f>
        <v>0.07733476050307742</v>
      </c>
      <c r="D71" s="52">
        <f t="shared" si="21"/>
        <v>-0.22557497700092</v>
      </c>
      <c r="E71" s="52">
        <f t="shared" si="21"/>
        <v>0.16565047612523132</v>
      </c>
      <c r="F71" s="53">
        <f t="shared" si="21"/>
        <v>0.0819748486259897</v>
      </c>
      <c r="G71" s="58">
        <f t="shared" si="21"/>
        <v>0.4049928566057599</v>
      </c>
      <c r="H71" s="58">
        <f t="shared" si="21"/>
        <v>0.6347093766448606</v>
      </c>
      <c r="I71" s="58">
        <f t="shared" si="21"/>
        <v>-0.04843546284224254</v>
      </c>
      <c r="J71" s="58">
        <f aca="true" t="shared" si="22" ref="J71:P71">SUM(J72:J73)</f>
        <v>0.08038747012202796</v>
      </c>
      <c r="K71" s="59">
        <f t="shared" si="22"/>
        <v>-0.16347968297899107</v>
      </c>
      <c r="L71" s="52">
        <f t="shared" si="22"/>
        <v>0.09700569166048001</v>
      </c>
      <c r="M71" s="52">
        <f t="shared" si="22"/>
        <v>0.07475653331465004</v>
      </c>
      <c r="N71" s="52">
        <f t="shared" si="22"/>
        <v>0.08039415562351349</v>
      </c>
      <c r="O71" s="16">
        <f t="shared" si="22"/>
        <v>0.08039415562351349</v>
      </c>
      <c r="P71" s="16">
        <f t="shared" si="22"/>
        <v>0.07135056425191122</v>
      </c>
    </row>
    <row r="72" spans="2:16" ht="11.25">
      <c r="B72" s="29" t="s">
        <v>15</v>
      </c>
      <c r="C72" s="52">
        <v>0</v>
      </c>
      <c r="D72" s="52">
        <v>0</v>
      </c>
      <c r="E72" s="52">
        <v>0</v>
      </c>
      <c r="F72" s="53">
        <v>0</v>
      </c>
      <c r="G72" s="58">
        <v>0</v>
      </c>
      <c r="H72" s="58">
        <v>0</v>
      </c>
      <c r="I72" s="58">
        <v>0</v>
      </c>
      <c r="J72" s="58">
        <v>0</v>
      </c>
      <c r="K72" s="59">
        <v>0</v>
      </c>
      <c r="L72" s="52">
        <v>0</v>
      </c>
      <c r="M72" s="52">
        <v>0</v>
      </c>
      <c r="N72" s="52">
        <v>0</v>
      </c>
      <c r="O72" s="16">
        <v>0</v>
      </c>
      <c r="P72" s="16">
        <v>0</v>
      </c>
    </row>
    <row r="73" spans="2:16" ht="11.25">
      <c r="B73" s="29" t="s">
        <v>16</v>
      </c>
      <c r="C73" s="52">
        <f aca="true" t="shared" si="23" ref="C73:I73">(C14/G14)-1</f>
        <v>0.07733476050307742</v>
      </c>
      <c r="D73" s="52">
        <f t="shared" si="23"/>
        <v>-0.22557497700092</v>
      </c>
      <c r="E73" s="52">
        <f t="shared" si="23"/>
        <v>0.16565047612523132</v>
      </c>
      <c r="F73" s="53">
        <f t="shared" si="23"/>
        <v>0.0819748486259897</v>
      </c>
      <c r="G73" s="58">
        <f t="shared" si="23"/>
        <v>0.4049928566057599</v>
      </c>
      <c r="H73" s="58">
        <f t="shared" si="23"/>
        <v>0.6347093766448606</v>
      </c>
      <c r="I73" s="58">
        <f t="shared" si="23"/>
        <v>-0.04843546284224254</v>
      </c>
      <c r="J73" s="58">
        <f>+(J14/N14)-1</f>
        <v>0.08038747012202796</v>
      </c>
      <c r="K73" s="59">
        <f>+(K14/O14)-1</f>
        <v>-0.16347968297899107</v>
      </c>
      <c r="L73" s="52">
        <f>+(L14/12123)-1</f>
        <v>0.09700569166048001</v>
      </c>
      <c r="M73" s="52">
        <f>+(M14/14273)-1</f>
        <v>0.07475653331465004</v>
      </c>
      <c r="N73" s="52">
        <f>+(N14/14715)-1</f>
        <v>0.08039415562351349</v>
      </c>
      <c r="O73" s="16">
        <f>+(O14/P14)-1</f>
        <v>0.08039415562351349</v>
      </c>
      <c r="P73" s="16">
        <f>+(P14/13735)-1</f>
        <v>0.07135056425191122</v>
      </c>
    </row>
    <row r="74" spans="1:16" ht="11.25">
      <c r="A74" s="29" t="s">
        <v>65</v>
      </c>
      <c r="C74" s="52">
        <f aca="true" t="shared" si="24" ref="C74:I74">(C16/G16)-1</f>
        <v>0.08280136349550671</v>
      </c>
      <c r="D74" s="52">
        <f t="shared" si="24"/>
        <v>-0.2529362852094377</v>
      </c>
      <c r="E74" s="52">
        <f t="shared" si="24"/>
        <v>0.19964087495919025</v>
      </c>
      <c r="F74" s="53">
        <f t="shared" si="24"/>
        <v>0.08836837902581851</v>
      </c>
      <c r="G74" s="58">
        <f t="shared" si="24"/>
        <v>0.5171603196991068</v>
      </c>
      <c r="H74" s="58">
        <f t="shared" si="24"/>
        <v>0.7467320261437909</v>
      </c>
      <c r="I74" s="58">
        <f t="shared" si="24"/>
        <v>-0.05905844405191618</v>
      </c>
      <c r="J74" s="58">
        <f aca="true" t="shared" si="25" ref="J74:P74">SUM(J75:J76)</f>
        <v>0.06672345258375922</v>
      </c>
      <c r="K74" s="59">
        <f t="shared" si="25"/>
        <v>-0.2302960121589347</v>
      </c>
      <c r="L74" s="52">
        <f t="shared" si="25"/>
        <v>0.09177403369672943</v>
      </c>
      <c r="M74" s="52">
        <f t="shared" si="25"/>
        <v>0.04830528942919243</v>
      </c>
      <c r="N74" s="52">
        <f t="shared" si="25"/>
        <v>0.08611518001696084</v>
      </c>
      <c r="O74" s="16">
        <f t="shared" si="25"/>
        <v>0.08949692477527194</v>
      </c>
      <c r="P74" s="16">
        <f t="shared" si="25"/>
        <v>-0.04452648233255485</v>
      </c>
    </row>
    <row r="75" spans="2:16" ht="11.25">
      <c r="B75" s="29" t="s">
        <v>15</v>
      </c>
      <c r="C75" s="52">
        <v>0</v>
      </c>
      <c r="D75" s="52">
        <v>0</v>
      </c>
      <c r="E75" s="52">
        <v>0</v>
      </c>
      <c r="F75" s="53">
        <v>0</v>
      </c>
      <c r="G75" s="58">
        <v>0</v>
      </c>
      <c r="H75" s="58">
        <v>0</v>
      </c>
      <c r="I75" s="58">
        <v>0</v>
      </c>
      <c r="J75" s="58">
        <v>0</v>
      </c>
      <c r="K75" s="59">
        <v>0</v>
      </c>
      <c r="L75" s="52">
        <v>0</v>
      </c>
      <c r="M75" s="52">
        <v>0</v>
      </c>
      <c r="N75" s="52">
        <v>0</v>
      </c>
      <c r="O75" s="16">
        <v>0</v>
      </c>
      <c r="P75" s="16">
        <v>0</v>
      </c>
    </row>
    <row r="76" spans="2:16" ht="11.25">
      <c r="B76" s="29" t="s">
        <v>16</v>
      </c>
      <c r="C76" s="52">
        <f aca="true" t="shared" si="26" ref="C76:I76">(C21/G21)-1</f>
        <v>0.08280136349550671</v>
      </c>
      <c r="D76" s="52">
        <f t="shared" si="26"/>
        <v>-0.2529362852094377</v>
      </c>
      <c r="E76" s="52">
        <f t="shared" si="26"/>
        <v>0.19964087495919025</v>
      </c>
      <c r="F76" s="53">
        <f t="shared" si="26"/>
        <v>0.08836837902581851</v>
      </c>
      <c r="G76" s="58">
        <f t="shared" si="26"/>
        <v>0.5171603196991068</v>
      </c>
      <c r="H76" s="58">
        <f t="shared" si="26"/>
        <v>0.7467320261437909</v>
      </c>
      <c r="I76" s="58">
        <f t="shared" si="26"/>
        <v>-0.05905844405191618</v>
      </c>
      <c r="J76" s="58">
        <f>+(J21/N21)-1</f>
        <v>0.06672345258375922</v>
      </c>
      <c r="K76" s="59">
        <f>+(K21/O21)-1</f>
        <v>-0.2302960121589347</v>
      </c>
      <c r="L76" s="52">
        <f>+(L21/10090)-1</f>
        <v>0.09177403369672943</v>
      </c>
      <c r="M76" s="52">
        <f>+(M21/12421)-1</f>
        <v>0.04830528942919243</v>
      </c>
      <c r="N76" s="52">
        <f>+(N21/12971)-1</f>
        <v>0.08611518001696084</v>
      </c>
      <c r="O76" s="16">
        <f>+(O21/P21)-1</f>
        <v>0.08949692477527194</v>
      </c>
      <c r="P76" s="16">
        <f>+(P21/13273)-1</f>
        <v>-0.04452648233255485</v>
      </c>
    </row>
    <row r="77" spans="1:16" ht="11.25">
      <c r="A77" s="29" t="s">
        <v>22</v>
      </c>
      <c r="C77" s="52">
        <f aca="true" t="shared" si="27" ref="C77:I77">(C25/G25)-1</f>
        <v>0.002003434459072695</v>
      </c>
      <c r="D77" s="52">
        <f t="shared" si="27"/>
        <v>-0.03198847262247839</v>
      </c>
      <c r="E77" s="52">
        <f t="shared" si="27"/>
        <v>-0.0040000000000000036</v>
      </c>
      <c r="F77" s="53">
        <f t="shared" si="27"/>
        <v>-0.06201780415430269</v>
      </c>
      <c r="G77" s="58">
        <f t="shared" si="27"/>
        <v>-0.009075439591605172</v>
      </c>
      <c r="H77" s="58">
        <f t="shared" si="27"/>
        <v>0.026020106445890034</v>
      </c>
      <c r="I77" s="58">
        <f t="shared" si="27"/>
        <v>-0.04831625183016108</v>
      </c>
      <c r="J77" s="52">
        <f>+(J25/N25)-1</f>
        <v>0.07702141259188244</v>
      </c>
      <c r="K77" s="59">
        <f>+(K25/O25)-1</f>
        <v>0.0022740193291643784</v>
      </c>
      <c r="L77" s="52">
        <f>+(L25/3369)-1</f>
        <v>0.003858711783912172</v>
      </c>
      <c r="M77" s="52">
        <f>+(M25/3249)-1</f>
        <v>0.05109264389042778</v>
      </c>
      <c r="N77" s="52">
        <f>+(N25/3119)-1</f>
        <v>0.003206155819172718</v>
      </c>
      <c r="O77" s="14">
        <f>+(O25/P25)-1</f>
        <v>0.05455635491606725</v>
      </c>
      <c r="P77" s="14">
        <f>+(P25/1123)-1</f>
        <v>1.970614425645592</v>
      </c>
    </row>
    <row r="78" spans="1:16" ht="11.25">
      <c r="A78" s="17" t="s">
        <v>66</v>
      </c>
      <c r="B78" s="17"/>
      <c r="C78" s="54">
        <f aca="true" t="shared" si="28" ref="C78:I78">(C40/G40)-1</f>
        <v>0.0121212121212122</v>
      </c>
      <c r="D78" s="54">
        <f t="shared" si="28"/>
        <v>-0.23779193205944793</v>
      </c>
      <c r="E78" s="54">
        <f t="shared" si="28"/>
        <v>-0.052000000000000046</v>
      </c>
      <c r="F78" s="55">
        <f t="shared" si="28"/>
        <v>-0.5648648648648649</v>
      </c>
      <c r="G78" s="54">
        <f t="shared" si="28"/>
        <v>-0.05714285714285716</v>
      </c>
      <c r="H78" s="54">
        <f t="shared" si="28"/>
        <v>0.22976501305483032</v>
      </c>
      <c r="I78" s="54">
        <f t="shared" si="28"/>
        <v>-0.3975903614457831</v>
      </c>
      <c r="J78" s="54">
        <f>+(J40/N40)-1</f>
        <v>1.8244274809160306</v>
      </c>
      <c r="K78" s="62">
        <f>+(K40/O40)-1</f>
        <v>0.013513513513513598</v>
      </c>
      <c r="L78" s="54">
        <f>+(L40/368)-1</f>
        <v>0.040760869565217295</v>
      </c>
      <c r="M78" s="54">
        <f>+(M40/251)-1</f>
        <v>0.653386454183267</v>
      </c>
      <c r="N78" s="54">
        <f>+(N40/120)-1</f>
        <v>0.09166666666666656</v>
      </c>
      <c r="O78" s="15">
        <f>+(O40/P40)-1</f>
        <v>0.5416666666666667</v>
      </c>
      <c r="P78" s="15">
        <f>+(P40/123)-1</f>
        <v>1.731707317073171</v>
      </c>
    </row>
    <row r="79" spans="15:16" ht="11.25">
      <c r="O79" s="8"/>
      <c r="P79" s="8"/>
    </row>
    <row r="80" spans="15:16" ht="11.25">
      <c r="O80" s="8"/>
      <c r="P80" s="8"/>
    </row>
    <row r="81" spans="15:16" ht="11.25">
      <c r="O81" s="8"/>
      <c r="P81" s="8"/>
    </row>
    <row r="82" spans="15:16" ht="11.25">
      <c r="O82" s="8"/>
      <c r="P82" s="8"/>
    </row>
    <row r="83" spans="15:16" ht="11.25">
      <c r="O83" s="8"/>
      <c r="P83" s="8"/>
    </row>
    <row r="84" spans="15:16" ht="11.25">
      <c r="O84" s="8"/>
      <c r="P84" s="8"/>
    </row>
    <row r="85" spans="15:16" ht="11.25">
      <c r="O85" s="8"/>
      <c r="P85" s="8"/>
    </row>
    <row r="86" spans="15:16" ht="11.25">
      <c r="O86" s="8"/>
      <c r="P86" s="8"/>
    </row>
    <row r="87" spans="15:16" ht="11.25">
      <c r="O87" s="8"/>
      <c r="P87" s="8"/>
    </row>
    <row r="88" spans="15:16" ht="11.25">
      <c r="O88" s="8"/>
      <c r="P88" s="8"/>
    </row>
    <row r="89" spans="15:16" ht="11.25">
      <c r="O89" s="8"/>
      <c r="P89" s="8"/>
    </row>
    <row r="90" spans="15:16" ht="11.25">
      <c r="O90" s="8"/>
      <c r="P90" s="8"/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2017-06-16T17:24:17Z</dcterms:created>
  <dcterms:modified xsi:type="dcterms:W3CDTF">2017-06-16T17:24:47Z</dcterms:modified>
  <cp:category/>
  <cp:version/>
  <cp:contentType/>
  <cp:contentStatus/>
</cp:coreProperties>
</file>