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de Finanzas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<sst xmlns="http://schemas.openxmlformats.org/spreadsheetml/2006/main" count="89" uniqueCount="68">
  <si>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19-22</t>
  </si>
  <si>
    <t>BANCO DE FINANZAS</t>
  </si>
  <si>
    <t>ESTADISTICA FINANCIERA. TRIMESTRE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</si>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</sst>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201" fontId="2" fillId="0" borderId="0" xfId="46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201" fontId="2" fillId="0" borderId="16" xfId="46" applyNumberFormat="1" applyFont="1" applyBorder="1" applyAlignment="1">
      <alignment/>
    </xf>
    <xf numFmtId="201" fontId="2" fillId="0" borderId="0" xfId="46" applyNumberFormat="1" applyFont="1" applyBorder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5" xfId="46" applyNumberFormat="1" applyFont="1" applyBorder="1" applyAlignment="1">
      <alignment/>
    </xf>
    <xf numFmtId="3" fontId="3" fillId="0" borderId="0" xfId="0" applyNumberFormat="1" applyFont="1" applyAlignment="1">
      <alignment/>
    </xf>
    <xf numFmtId="201" fontId="3" fillId="0" borderId="16" xfId="46" applyNumberFormat="1" applyFont="1" applyBorder="1" applyAlignment="1">
      <alignment/>
    </xf>
    <xf numFmtId="43" fontId="3" fillId="0" borderId="0" xfId="46" applyFont="1" applyAlignment="1">
      <alignment/>
    </xf>
    <xf numFmtId="43" fontId="3" fillId="0" borderId="15" xfId="46" applyFont="1" applyBorder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7" xfId="46" applyNumberFormat="1" applyFont="1" applyBorder="1" applyAlignment="1">
      <alignment/>
    </xf>
    <xf numFmtId="201" fontId="3" fillId="0" borderId="14" xfId="46" applyNumberFormat="1" applyFont="1" applyBorder="1" applyAlignment="1">
      <alignment/>
    </xf>
    <xf numFmtId="0" fontId="3" fillId="0" borderId="15" xfId="0" applyFont="1" applyBorder="1" applyAlignment="1">
      <alignment/>
    </xf>
    <xf numFmtId="201" fontId="3" fillId="0" borderId="11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3" fontId="3" fillId="0" borderId="0" xfId="46" applyFont="1" applyBorder="1" applyAlignment="1">
      <alignment/>
    </xf>
    <xf numFmtId="43" fontId="3" fillId="0" borderId="16" xfId="46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3" fontId="3" fillId="0" borderId="17" xfId="0" applyNumberFormat="1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0" xfId="46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15" xfId="52" applyNumberFormat="1" applyFont="1" applyFill="1" applyBorder="1" applyAlignment="1">
      <alignment/>
    </xf>
    <xf numFmtId="10" fontId="3" fillId="0" borderId="0" xfId="52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0" fontId="3" fillId="0" borderId="17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204" fontId="3" fillId="0" borderId="15" xfId="52" applyNumberFormat="1" applyFont="1" applyBorder="1" applyAlignment="1">
      <alignment/>
    </xf>
    <xf numFmtId="204" fontId="3" fillId="0" borderId="0" xfId="52" applyNumberFormat="1" applyFont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204" fontId="3" fillId="0" borderId="17" xfId="52" applyNumberFormat="1" applyFont="1" applyBorder="1" applyAlignment="1">
      <alignment/>
    </xf>
    <xf numFmtId="204" fontId="3" fillId="0" borderId="10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7" xfId="52" applyNumberFormat="1" applyFont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685800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" sqref="G7:J7"/>
    </sheetView>
  </sheetViews>
  <sheetFormatPr defaultColWidth="11.421875" defaultRowHeight="12.75"/>
  <cols>
    <col min="1" max="1" width="3.57421875" style="3" customWidth="1"/>
    <col min="2" max="2" width="28.00390625" style="3" customWidth="1"/>
    <col min="3" max="3" width="10.57421875" style="3" customWidth="1"/>
    <col min="4" max="4" width="7.7109375" style="3" bestFit="1" customWidth="1"/>
    <col min="5" max="5" width="7.421875" style="3" customWidth="1"/>
    <col min="6" max="6" width="7.28125" style="3" customWidth="1"/>
    <col min="7" max="7" width="7.57421875" style="3" customWidth="1"/>
    <col min="8" max="8" width="8.57421875" style="3" customWidth="1"/>
    <col min="9" max="9" width="7.7109375" style="3" customWidth="1"/>
    <col min="10" max="10" width="7.421875" style="3" customWidth="1"/>
    <col min="11" max="11" width="8.140625" style="3" customWidth="1"/>
    <col min="12" max="12" width="8.57421875" style="3" customWidth="1"/>
    <col min="13" max="13" width="7.421875" style="3" customWidth="1"/>
    <col min="14" max="14" width="8.00390625" style="3" customWidth="1"/>
    <col min="15" max="15" width="5.7109375" style="3" hidden="1" customWidth="1"/>
    <col min="16" max="16" width="5.140625" style="3" hidden="1" customWidth="1"/>
    <col min="17" max="49" width="11.421875" style="3" customWidth="1"/>
    <col min="50" max="16384" width="11.421875" style="1" customWidth="1"/>
  </cols>
  <sheetData>
    <row r="1" spans="2:16" ht="11.25">
      <c r="B1" s="64"/>
      <c r="C1" s="64"/>
      <c r="D1" s="64"/>
      <c r="E1" s="64"/>
      <c r="F1" s="64"/>
      <c r="G1" s="64"/>
      <c r="H1" s="64" t="s">
        <v>0</v>
      </c>
      <c r="I1" s="64"/>
      <c r="J1" s="64"/>
      <c r="K1" s="64"/>
      <c r="L1" s="64"/>
      <c r="M1" s="64"/>
      <c r="N1" s="64"/>
      <c r="O1" s="64"/>
      <c r="P1" s="64"/>
    </row>
    <row r="2" spans="2:16" ht="11.25">
      <c r="B2" s="64"/>
      <c r="C2" s="64"/>
      <c r="D2" s="64"/>
      <c r="E2" s="64"/>
      <c r="F2" s="64"/>
      <c r="G2" s="64"/>
      <c r="H2" s="64" t="s">
        <v>1</v>
      </c>
      <c r="I2" s="64"/>
      <c r="J2" s="64"/>
      <c r="K2" s="64"/>
      <c r="L2" s="64"/>
      <c r="M2" s="64"/>
      <c r="N2" s="64"/>
      <c r="O2" s="64"/>
      <c r="P2" s="64"/>
    </row>
    <row r="3" spans="2:16" ht="11.25">
      <c r="B3" s="64"/>
      <c r="C3" s="64"/>
      <c r="D3" s="64"/>
      <c r="E3" s="64"/>
      <c r="F3" s="64"/>
      <c r="G3" s="64"/>
      <c r="H3" s="64" t="s">
        <v>2</v>
      </c>
      <c r="I3" s="64"/>
      <c r="J3" s="64"/>
      <c r="K3" s="64"/>
      <c r="L3" s="64"/>
      <c r="M3" s="64"/>
      <c r="N3" s="64"/>
      <c r="O3" s="64"/>
      <c r="P3" s="64"/>
    </row>
    <row r="4" spans="1:16" ht="11.25">
      <c r="A4" s="1"/>
      <c r="B4" s="63"/>
      <c r="C4" s="63"/>
      <c r="D4" s="63"/>
      <c r="E4" s="63"/>
      <c r="F4" s="63"/>
      <c r="G4" s="63"/>
      <c r="H4" s="63" t="s">
        <v>3</v>
      </c>
      <c r="I4" s="63"/>
      <c r="J4" s="63"/>
      <c r="K4" s="63"/>
      <c r="L4" s="63"/>
      <c r="M4" s="63"/>
      <c r="N4" s="63"/>
      <c r="O4" s="63"/>
      <c r="P4" s="63"/>
    </row>
    <row r="5" spans="1:16" ht="11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1.2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4"/>
      <c r="P6" s="4"/>
    </row>
    <row r="7" spans="1:16" ht="12.75" customHeight="1">
      <c r="A7" s="6"/>
      <c r="B7" s="6"/>
      <c r="C7" s="66">
        <v>2002</v>
      </c>
      <c r="D7" s="66"/>
      <c r="E7" s="66"/>
      <c r="F7" s="67"/>
      <c r="G7" s="66">
        <v>2001</v>
      </c>
      <c r="H7" s="66"/>
      <c r="I7" s="66"/>
      <c r="J7" s="66"/>
      <c r="K7" s="65">
        <v>2000</v>
      </c>
      <c r="L7" s="66"/>
      <c r="M7" s="66"/>
      <c r="N7" s="66"/>
      <c r="O7" s="66" t="s">
        <v>4</v>
      </c>
      <c r="P7" s="66"/>
    </row>
    <row r="8" spans="1:16" ht="11.25">
      <c r="A8" s="7"/>
      <c r="B8" s="7"/>
      <c r="C8" s="8" t="s">
        <v>5</v>
      </c>
      <c r="D8" s="8" t="s">
        <v>6</v>
      </c>
      <c r="E8" s="7" t="s">
        <v>7</v>
      </c>
      <c r="F8" s="9" t="s">
        <v>8</v>
      </c>
      <c r="G8" s="8" t="s">
        <v>5</v>
      </c>
      <c r="H8" s="8" t="s">
        <v>6</v>
      </c>
      <c r="I8" s="7" t="s">
        <v>7</v>
      </c>
      <c r="J8" s="7" t="s">
        <v>8</v>
      </c>
      <c r="K8" s="10" t="s">
        <v>5</v>
      </c>
      <c r="L8" s="7" t="s">
        <v>6</v>
      </c>
      <c r="M8" s="7" t="s">
        <v>7</v>
      </c>
      <c r="N8" s="8" t="s">
        <v>8</v>
      </c>
      <c r="O8" s="11" t="s">
        <v>9</v>
      </c>
      <c r="P8" s="11" t="s">
        <v>10</v>
      </c>
    </row>
    <row r="9" spans="1:16" ht="11.25">
      <c r="A9" s="12" t="s">
        <v>11</v>
      </c>
      <c r="B9" s="12"/>
      <c r="C9" s="13"/>
      <c r="D9" s="12"/>
      <c r="E9" s="14"/>
      <c r="F9" s="15"/>
      <c r="G9" s="12"/>
      <c r="H9" s="12"/>
      <c r="I9" s="12"/>
      <c r="J9" s="12"/>
      <c r="K9" s="16"/>
      <c r="L9" s="17"/>
      <c r="M9" s="17"/>
      <c r="N9" s="17"/>
      <c r="O9" s="13"/>
      <c r="P9" s="13"/>
    </row>
    <row r="10" spans="1:16" ht="11.25">
      <c r="A10" s="3" t="s">
        <v>12</v>
      </c>
      <c r="C10" s="18">
        <v>32202</v>
      </c>
      <c r="D10" s="18">
        <v>28318</v>
      </c>
      <c r="E10" s="19">
        <v>26683</v>
      </c>
      <c r="F10" s="20">
        <v>27429</v>
      </c>
      <c r="G10" s="18">
        <v>27713</v>
      </c>
      <c r="H10" s="18">
        <v>25271</v>
      </c>
      <c r="I10" s="18">
        <v>22409</v>
      </c>
      <c r="J10" s="21">
        <v>21542</v>
      </c>
      <c r="K10" s="22">
        <v>24179</v>
      </c>
      <c r="L10" s="19">
        <v>20762</v>
      </c>
      <c r="M10" s="19">
        <v>19460</v>
      </c>
      <c r="N10" s="19">
        <v>18343</v>
      </c>
      <c r="O10" s="18">
        <v>14524</v>
      </c>
      <c r="P10" s="18">
        <v>7087</v>
      </c>
    </row>
    <row r="11" spans="1:16" ht="11.25">
      <c r="A11" s="3" t="s">
        <v>13</v>
      </c>
      <c r="C11" s="18">
        <v>8348</v>
      </c>
      <c r="D11" s="18">
        <v>2007</v>
      </c>
      <c r="E11" s="19">
        <v>2139</v>
      </c>
      <c r="F11" s="20">
        <v>2424</v>
      </c>
      <c r="G11" s="18">
        <v>1601</v>
      </c>
      <c r="H11" s="18">
        <v>4513</v>
      </c>
      <c r="I11" s="18">
        <v>3087</v>
      </c>
      <c r="J11" s="21">
        <v>1911</v>
      </c>
      <c r="K11" s="22">
        <v>2509</v>
      </c>
      <c r="L11" s="19">
        <v>1375</v>
      </c>
      <c r="M11" s="19">
        <v>938</v>
      </c>
      <c r="N11" s="19">
        <v>1861</v>
      </c>
      <c r="O11" s="18">
        <v>846</v>
      </c>
      <c r="P11" s="18">
        <v>210</v>
      </c>
    </row>
    <row r="12" spans="1:16" ht="11.25">
      <c r="A12" s="3" t="s">
        <v>14</v>
      </c>
      <c r="C12" s="19">
        <f aca="true" t="shared" si="0" ref="C12:P12">C13+C14</f>
        <v>13847</v>
      </c>
      <c r="D12" s="19">
        <f t="shared" si="0"/>
        <v>18151</v>
      </c>
      <c r="E12" s="19">
        <f t="shared" si="0"/>
        <v>16494</v>
      </c>
      <c r="F12" s="20">
        <f t="shared" si="0"/>
        <v>17285</v>
      </c>
      <c r="G12" s="18">
        <f t="shared" si="0"/>
        <v>21231</v>
      </c>
      <c r="H12" s="18">
        <f t="shared" si="0"/>
        <v>16221</v>
      </c>
      <c r="I12" s="18">
        <f t="shared" si="0"/>
        <v>14932</v>
      </c>
      <c r="J12" s="18">
        <f t="shared" si="0"/>
        <v>15388</v>
      </c>
      <c r="K12" s="22">
        <f t="shared" si="0"/>
        <v>17079</v>
      </c>
      <c r="L12" s="19">
        <f t="shared" si="0"/>
        <v>18195</v>
      </c>
      <c r="M12" s="19">
        <f t="shared" si="0"/>
        <v>17313</v>
      </c>
      <c r="N12" s="19">
        <f t="shared" si="0"/>
        <v>15493</v>
      </c>
      <c r="O12" s="18">
        <f t="shared" si="0"/>
        <v>12876</v>
      </c>
      <c r="P12" s="18">
        <f t="shared" si="0"/>
        <v>6386</v>
      </c>
    </row>
    <row r="13" spans="2:16" ht="11.25">
      <c r="B13" s="3" t="s">
        <v>15</v>
      </c>
      <c r="C13" s="18">
        <v>0</v>
      </c>
      <c r="D13" s="23">
        <v>0</v>
      </c>
      <c r="E13" s="23">
        <v>0</v>
      </c>
      <c r="F13" s="24">
        <v>0</v>
      </c>
      <c r="G13" s="23">
        <v>0</v>
      </c>
      <c r="H13" s="18">
        <v>0</v>
      </c>
      <c r="I13" s="18">
        <v>0</v>
      </c>
      <c r="J13" s="18">
        <v>0</v>
      </c>
      <c r="K13" s="22"/>
      <c r="L13" s="19"/>
      <c r="M13" s="19">
        <v>0</v>
      </c>
      <c r="N13" s="19">
        <v>0</v>
      </c>
      <c r="O13" s="18">
        <v>0</v>
      </c>
      <c r="P13" s="18">
        <v>0</v>
      </c>
    </row>
    <row r="14" spans="2:16" ht="11.25">
      <c r="B14" s="3" t="s">
        <v>16</v>
      </c>
      <c r="C14" s="18">
        <v>13847</v>
      </c>
      <c r="D14" s="18">
        <v>18151</v>
      </c>
      <c r="E14" s="19">
        <v>16494</v>
      </c>
      <c r="F14" s="20">
        <v>17285</v>
      </c>
      <c r="G14" s="18">
        <v>21231</v>
      </c>
      <c r="H14" s="18">
        <v>16221</v>
      </c>
      <c r="I14" s="18">
        <v>14932</v>
      </c>
      <c r="J14" s="21">
        <v>15388</v>
      </c>
      <c r="K14" s="22">
        <v>17079</v>
      </c>
      <c r="L14" s="19">
        <v>18195</v>
      </c>
      <c r="M14" s="19">
        <v>17313</v>
      </c>
      <c r="N14" s="19">
        <v>15493</v>
      </c>
      <c r="O14" s="18">
        <v>12876</v>
      </c>
      <c r="P14" s="18">
        <v>6386</v>
      </c>
    </row>
    <row r="15" spans="1:16" ht="11.25">
      <c r="A15" s="3" t="s">
        <v>17</v>
      </c>
      <c r="C15" s="18">
        <v>5500</v>
      </c>
      <c r="D15" s="18">
        <v>5500</v>
      </c>
      <c r="E15" s="19">
        <v>5500</v>
      </c>
      <c r="F15" s="20">
        <v>5500</v>
      </c>
      <c r="G15" s="18">
        <v>3000</v>
      </c>
      <c r="H15" s="18">
        <v>3000</v>
      </c>
      <c r="I15" s="18">
        <v>3000</v>
      </c>
      <c r="J15" s="21">
        <v>3000</v>
      </c>
      <c r="K15" s="22">
        <v>3000</v>
      </c>
      <c r="L15" s="19"/>
      <c r="M15" s="19"/>
      <c r="N15" s="19"/>
      <c r="O15" s="18">
        <v>0</v>
      </c>
      <c r="P15" s="18">
        <v>0</v>
      </c>
    </row>
    <row r="16" spans="1:16" ht="11.25">
      <c r="A16" s="3" t="s">
        <v>18</v>
      </c>
      <c r="C16" s="19">
        <f aca="true" t="shared" si="1" ref="C16:P16">C17+C21</f>
        <v>26877</v>
      </c>
      <c r="D16" s="19">
        <f t="shared" si="1"/>
        <v>24055</v>
      </c>
      <c r="E16" s="19">
        <f t="shared" si="1"/>
        <v>22763</v>
      </c>
      <c r="F16" s="20">
        <f t="shared" si="1"/>
        <v>23488</v>
      </c>
      <c r="G16" s="18">
        <f t="shared" si="1"/>
        <v>23852</v>
      </c>
      <c r="H16" s="18">
        <f t="shared" si="1"/>
        <v>21496</v>
      </c>
      <c r="I16" s="18">
        <f t="shared" si="1"/>
        <v>18655</v>
      </c>
      <c r="J16" s="18">
        <f t="shared" si="1"/>
        <v>17555</v>
      </c>
      <c r="K16" s="22">
        <f t="shared" si="1"/>
        <v>20232</v>
      </c>
      <c r="L16" s="19">
        <f t="shared" si="1"/>
        <v>16934</v>
      </c>
      <c r="M16" s="19">
        <f t="shared" si="1"/>
        <v>15712</v>
      </c>
      <c r="N16" s="19">
        <f t="shared" si="1"/>
        <v>14482</v>
      </c>
      <c r="O16" s="18">
        <f t="shared" si="1"/>
        <v>10931</v>
      </c>
      <c r="P16" s="18">
        <f t="shared" si="1"/>
        <v>3817</v>
      </c>
    </row>
    <row r="17" spans="2:16" ht="11.25">
      <c r="B17" s="3" t="s">
        <v>15</v>
      </c>
      <c r="C17" s="19">
        <f aca="true" t="shared" si="2" ref="C17:P17">SUM(C18:C20)</f>
        <v>0</v>
      </c>
      <c r="D17" s="19">
        <f t="shared" si="2"/>
        <v>0</v>
      </c>
      <c r="E17" s="19">
        <f t="shared" si="2"/>
        <v>0</v>
      </c>
      <c r="F17" s="20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22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8">
        <f t="shared" si="2"/>
        <v>0</v>
      </c>
      <c r="P17" s="18">
        <f t="shared" si="2"/>
        <v>0</v>
      </c>
    </row>
    <row r="18" spans="2:16" ht="11.25">
      <c r="B18" s="3" t="s">
        <v>19</v>
      </c>
      <c r="C18" s="19">
        <v>0</v>
      </c>
      <c r="D18" s="19">
        <v>0</v>
      </c>
      <c r="E18" s="19">
        <v>0</v>
      </c>
      <c r="F18" s="20">
        <v>0</v>
      </c>
      <c r="G18" s="18">
        <v>0</v>
      </c>
      <c r="H18" s="18">
        <v>0</v>
      </c>
      <c r="I18" s="18">
        <v>0</v>
      </c>
      <c r="K18" s="22">
        <v>0</v>
      </c>
      <c r="L18" s="19">
        <v>0</v>
      </c>
      <c r="M18" s="19">
        <v>0</v>
      </c>
      <c r="N18" s="19">
        <v>0</v>
      </c>
      <c r="O18" s="18">
        <v>0</v>
      </c>
      <c r="P18" s="18">
        <v>0</v>
      </c>
    </row>
    <row r="19" spans="2:16" ht="11.25">
      <c r="B19" s="3" t="s">
        <v>20</v>
      </c>
      <c r="C19" s="19">
        <v>0</v>
      </c>
      <c r="D19" s="19">
        <v>0</v>
      </c>
      <c r="E19" s="19">
        <v>0</v>
      </c>
      <c r="F19" s="20">
        <v>0</v>
      </c>
      <c r="G19" s="18">
        <v>0</v>
      </c>
      <c r="H19" s="18">
        <v>0</v>
      </c>
      <c r="I19" s="18">
        <v>0</v>
      </c>
      <c r="J19" s="18">
        <v>0</v>
      </c>
      <c r="K19" s="22">
        <v>0</v>
      </c>
      <c r="L19" s="19">
        <v>0</v>
      </c>
      <c r="M19" s="19">
        <v>0</v>
      </c>
      <c r="N19" s="19">
        <v>0</v>
      </c>
      <c r="O19" s="18">
        <v>0</v>
      </c>
      <c r="P19" s="18">
        <v>0</v>
      </c>
    </row>
    <row r="20" spans="2:16" ht="11.25">
      <c r="B20" s="3" t="s">
        <v>21</v>
      </c>
      <c r="C20" s="19">
        <v>0</v>
      </c>
      <c r="D20" s="19">
        <v>0</v>
      </c>
      <c r="E20" s="19">
        <v>0</v>
      </c>
      <c r="F20" s="20">
        <v>0</v>
      </c>
      <c r="G20" s="18">
        <v>0</v>
      </c>
      <c r="H20" s="18">
        <v>0</v>
      </c>
      <c r="I20" s="18">
        <v>0</v>
      </c>
      <c r="K20" s="22">
        <v>0</v>
      </c>
      <c r="L20" s="19">
        <v>0</v>
      </c>
      <c r="M20" s="19">
        <v>0</v>
      </c>
      <c r="N20" s="19">
        <v>0</v>
      </c>
      <c r="O20" s="18">
        <v>0</v>
      </c>
      <c r="P20" s="18">
        <v>0</v>
      </c>
    </row>
    <row r="21" spans="2:16" ht="11.25">
      <c r="B21" s="3" t="s">
        <v>16</v>
      </c>
      <c r="C21" s="19">
        <f>SUM(C22:C24)</f>
        <v>26877</v>
      </c>
      <c r="D21" s="19">
        <f>SUM(D22:D24)</f>
        <v>24055</v>
      </c>
      <c r="E21" s="19">
        <f>SUM(E22:E24)</f>
        <v>22763</v>
      </c>
      <c r="F21" s="20">
        <f>SUM(F22:F24)</f>
        <v>23488</v>
      </c>
      <c r="G21" s="18">
        <f aca="true" t="shared" si="3" ref="G21:P21">SUM(G23:G24)</f>
        <v>23852</v>
      </c>
      <c r="H21" s="18">
        <f t="shared" si="3"/>
        <v>21496</v>
      </c>
      <c r="I21" s="18">
        <f t="shared" si="3"/>
        <v>18655</v>
      </c>
      <c r="J21" s="18">
        <f t="shared" si="3"/>
        <v>17555</v>
      </c>
      <c r="K21" s="22">
        <f t="shared" si="3"/>
        <v>20232</v>
      </c>
      <c r="L21" s="19">
        <f t="shared" si="3"/>
        <v>16934</v>
      </c>
      <c r="M21" s="19">
        <f t="shared" si="3"/>
        <v>15712</v>
      </c>
      <c r="N21" s="19">
        <f t="shared" si="3"/>
        <v>14482</v>
      </c>
      <c r="O21" s="18">
        <f t="shared" si="3"/>
        <v>10931</v>
      </c>
      <c r="P21" s="18">
        <f t="shared" si="3"/>
        <v>3817</v>
      </c>
    </row>
    <row r="22" spans="2:16" ht="11.25">
      <c r="B22" s="3" t="s">
        <v>19</v>
      </c>
      <c r="C22" s="19"/>
      <c r="D22" s="19"/>
      <c r="E22" s="19"/>
      <c r="F22" s="20"/>
      <c r="G22" s="18"/>
      <c r="H22" s="18"/>
      <c r="I22" s="18"/>
      <c r="J22" s="18"/>
      <c r="K22" s="22"/>
      <c r="L22" s="19"/>
      <c r="M22" s="19"/>
      <c r="N22" s="19"/>
      <c r="O22" s="18"/>
      <c r="P22" s="18"/>
    </row>
    <row r="23" spans="2:16" ht="11.25">
      <c r="B23" s="3" t="s">
        <v>20</v>
      </c>
      <c r="C23" s="18">
        <v>26877</v>
      </c>
      <c r="D23" s="18">
        <v>24055</v>
      </c>
      <c r="E23" s="19">
        <f>110+22653</f>
        <v>22763</v>
      </c>
      <c r="F23" s="20">
        <f>2887+20601</f>
        <v>23488</v>
      </c>
      <c r="G23" s="18">
        <f>2480+21372</f>
        <v>23852</v>
      </c>
      <c r="H23" s="18">
        <f>2903+18593</f>
        <v>21496</v>
      </c>
      <c r="I23" s="18">
        <v>18655</v>
      </c>
      <c r="J23" s="18">
        <v>17555</v>
      </c>
      <c r="K23" s="22">
        <f>18786+1446</f>
        <v>20232</v>
      </c>
      <c r="L23" s="19">
        <v>16934</v>
      </c>
      <c r="M23" s="19">
        <v>15712</v>
      </c>
      <c r="N23" s="19">
        <v>14482</v>
      </c>
      <c r="O23" s="18">
        <v>10931</v>
      </c>
      <c r="P23" s="18">
        <v>3817</v>
      </c>
    </row>
    <row r="24" spans="2:16" ht="11.25">
      <c r="B24" s="3" t="s">
        <v>21</v>
      </c>
      <c r="C24" s="19">
        <v>0</v>
      </c>
      <c r="D24" s="19">
        <v>0</v>
      </c>
      <c r="E24" s="19">
        <v>0</v>
      </c>
      <c r="F24" s="20">
        <v>0</v>
      </c>
      <c r="G24" s="23">
        <v>0</v>
      </c>
      <c r="H24" s="23">
        <v>0</v>
      </c>
      <c r="I24" s="18">
        <v>0</v>
      </c>
      <c r="J24" s="18">
        <v>0</v>
      </c>
      <c r="K24" s="22">
        <v>0</v>
      </c>
      <c r="L24" s="19">
        <v>0</v>
      </c>
      <c r="M24" s="19">
        <v>0</v>
      </c>
      <c r="N24" s="19">
        <v>0</v>
      </c>
      <c r="O24" s="18">
        <v>0</v>
      </c>
      <c r="P24" s="18">
        <v>0</v>
      </c>
    </row>
    <row r="25" spans="1:16" ht="11.25">
      <c r="A25" s="4" t="s">
        <v>22</v>
      </c>
      <c r="B25" s="4"/>
      <c r="C25" s="25">
        <v>3200</v>
      </c>
      <c r="D25" s="25">
        <v>3232</v>
      </c>
      <c r="E25" s="25">
        <v>3212</v>
      </c>
      <c r="F25" s="26">
        <v>3182</v>
      </c>
      <c r="G25" s="25">
        <v>3151</v>
      </c>
      <c r="H25" s="25">
        <v>3165</v>
      </c>
      <c r="I25" s="25">
        <v>3173</v>
      </c>
      <c r="J25" s="25">
        <v>3141</v>
      </c>
      <c r="K25" s="27">
        <v>3156</v>
      </c>
      <c r="L25" s="25">
        <v>3064</v>
      </c>
      <c r="M25" s="25">
        <v>3000</v>
      </c>
      <c r="N25" s="25">
        <v>3009</v>
      </c>
      <c r="O25" s="25">
        <v>3018</v>
      </c>
      <c r="P25" s="25">
        <v>3006</v>
      </c>
    </row>
    <row r="26" spans="1:16" ht="11.25">
      <c r="A26" s="12" t="s">
        <v>23</v>
      </c>
      <c r="C26" s="6"/>
      <c r="E26" s="19"/>
      <c r="F26" s="28"/>
      <c r="K26" s="22"/>
      <c r="L26" s="19"/>
      <c r="M26" s="19"/>
      <c r="N26" s="19"/>
      <c r="O26" s="18"/>
      <c r="P26" s="18"/>
    </row>
    <row r="27" spans="1:16" ht="11.25">
      <c r="A27" s="3" t="s">
        <v>12</v>
      </c>
      <c r="C27" s="19">
        <f aca="true" t="shared" si="4" ref="C27:I27">(C10+G10)/2</f>
        <v>29957.5</v>
      </c>
      <c r="D27" s="19">
        <f t="shared" si="4"/>
        <v>26794.5</v>
      </c>
      <c r="E27" s="19">
        <f t="shared" si="4"/>
        <v>24546</v>
      </c>
      <c r="F27" s="20">
        <f t="shared" si="4"/>
        <v>24485.5</v>
      </c>
      <c r="G27" s="18">
        <f t="shared" si="4"/>
        <v>25946</v>
      </c>
      <c r="H27" s="18">
        <f t="shared" si="4"/>
        <v>23016.5</v>
      </c>
      <c r="I27" s="18">
        <f t="shared" si="4"/>
        <v>20934.5</v>
      </c>
      <c r="J27" s="18">
        <f>+(J10+N10)/2</f>
        <v>19942.5</v>
      </c>
      <c r="K27" s="22">
        <f>+(K10+O10)/2</f>
        <v>19351.5</v>
      </c>
      <c r="L27" s="19">
        <f>+(13585+L10)/2</f>
        <v>17173.5</v>
      </c>
      <c r="M27" s="19">
        <f>+(11137+M10)/2</f>
        <v>15298.5</v>
      </c>
      <c r="N27" s="19">
        <f>+(9904+N10)/2</f>
        <v>14123.5</v>
      </c>
      <c r="O27" s="18">
        <f>(O10+P10)/2</f>
        <v>10805.5</v>
      </c>
      <c r="P27" s="18">
        <f>(P10+5038)/2</f>
        <v>6062.5</v>
      </c>
    </row>
    <row r="28" spans="1:16" ht="11.25">
      <c r="A28" s="3" t="s">
        <v>24</v>
      </c>
      <c r="C28" s="19">
        <f aca="true" t="shared" si="5" ref="C28:P28">C29+C30</f>
        <v>21789</v>
      </c>
      <c r="D28" s="19">
        <f t="shared" si="5"/>
        <v>21436</v>
      </c>
      <c r="E28" s="19">
        <f t="shared" si="5"/>
        <v>19963</v>
      </c>
      <c r="F28" s="20">
        <f t="shared" si="5"/>
        <v>20586.5</v>
      </c>
      <c r="G28" s="18">
        <f t="shared" si="5"/>
        <v>22155</v>
      </c>
      <c r="H28" s="18">
        <f t="shared" si="5"/>
        <v>18708</v>
      </c>
      <c r="I28" s="18">
        <f t="shared" si="5"/>
        <v>17622.5</v>
      </c>
      <c r="J28" s="18">
        <f t="shared" si="5"/>
        <v>16940.5</v>
      </c>
      <c r="K28" s="22">
        <f t="shared" si="5"/>
        <v>16477.5</v>
      </c>
      <c r="L28" s="19">
        <f t="shared" si="5"/>
        <v>15211</v>
      </c>
      <c r="M28" s="19">
        <f t="shared" si="5"/>
        <v>13776</v>
      </c>
      <c r="N28" s="19">
        <f t="shared" si="5"/>
        <v>12243.5</v>
      </c>
      <c r="O28" s="18">
        <f t="shared" si="5"/>
        <v>9631</v>
      </c>
      <c r="P28" s="18">
        <f t="shared" si="5"/>
        <v>5693</v>
      </c>
    </row>
    <row r="29" spans="2:16" ht="11.25">
      <c r="B29" s="3" t="s">
        <v>14</v>
      </c>
      <c r="C29" s="19">
        <f aca="true" t="shared" si="6" ref="C29:I29">(C12+G12)/2</f>
        <v>17539</v>
      </c>
      <c r="D29" s="19">
        <f t="shared" si="6"/>
        <v>17186</v>
      </c>
      <c r="E29" s="19">
        <f t="shared" si="6"/>
        <v>15713</v>
      </c>
      <c r="F29" s="20">
        <f t="shared" si="6"/>
        <v>16336.5</v>
      </c>
      <c r="G29" s="18">
        <f t="shared" si="6"/>
        <v>19155</v>
      </c>
      <c r="H29" s="18">
        <f t="shared" si="6"/>
        <v>17208</v>
      </c>
      <c r="I29" s="18">
        <f t="shared" si="6"/>
        <v>16122.5</v>
      </c>
      <c r="J29" s="18">
        <f>+(J12+N12)/2</f>
        <v>15440.5</v>
      </c>
      <c r="K29" s="22">
        <f>+(K12+O12)/2</f>
        <v>14977.5</v>
      </c>
      <c r="L29" s="19">
        <f>+(12227+L12)/2</f>
        <v>15211</v>
      </c>
      <c r="M29" s="19">
        <f>+(10239+M12)/2</f>
        <v>13776</v>
      </c>
      <c r="N29" s="19">
        <f>+(8994+N12)/2</f>
        <v>12243.5</v>
      </c>
      <c r="O29" s="18">
        <f>(O12+P12)/2</f>
        <v>9631</v>
      </c>
      <c r="P29" s="18">
        <f>(P12+4750)/2</f>
        <v>5568</v>
      </c>
    </row>
    <row r="30" spans="2:16" ht="11.25">
      <c r="B30" s="3" t="s">
        <v>17</v>
      </c>
      <c r="C30" s="19">
        <f aca="true" t="shared" si="7" ref="C30:I30">(C15+G15)/2</f>
        <v>4250</v>
      </c>
      <c r="D30" s="19">
        <f t="shared" si="7"/>
        <v>4250</v>
      </c>
      <c r="E30" s="19">
        <f t="shared" si="7"/>
        <v>4250</v>
      </c>
      <c r="F30" s="20">
        <f t="shared" si="7"/>
        <v>4250</v>
      </c>
      <c r="G30" s="18">
        <f t="shared" si="7"/>
        <v>3000</v>
      </c>
      <c r="H30" s="18">
        <f t="shared" si="7"/>
        <v>1500</v>
      </c>
      <c r="I30" s="18">
        <f t="shared" si="7"/>
        <v>1500</v>
      </c>
      <c r="J30" s="18">
        <f>+(J15+N15)/2</f>
        <v>1500</v>
      </c>
      <c r="K30" s="22">
        <f>+(K15+O15)/2</f>
        <v>1500</v>
      </c>
      <c r="L30" s="19">
        <v>0</v>
      </c>
      <c r="M30" s="19">
        <v>0</v>
      </c>
      <c r="N30" s="19">
        <v>0</v>
      </c>
      <c r="O30" s="18">
        <f>(O15+P15)/2</f>
        <v>0</v>
      </c>
      <c r="P30" s="18">
        <f>(P15+250)/2</f>
        <v>125</v>
      </c>
    </row>
    <row r="31" spans="1:16" ht="11.25">
      <c r="A31" s="4" t="s">
        <v>22</v>
      </c>
      <c r="B31" s="4"/>
      <c r="C31" s="25">
        <f aca="true" t="shared" si="8" ref="C31:I31">(C25+G25)/2</f>
        <v>3175.5</v>
      </c>
      <c r="D31" s="19">
        <f t="shared" si="8"/>
        <v>3198.5</v>
      </c>
      <c r="E31" s="19">
        <f t="shared" si="8"/>
        <v>3192.5</v>
      </c>
      <c r="F31" s="26">
        <f t="shared" si="8"/>
        <v>3161.5</v>
      </c>
      <c r="G31" s="25">
        <f t="shared" si="8"/>
        <v>3153.5</v>
      </c>
      <c r="H31" s="25">
        <f t="shared" si="8"/>
        <v>3114.5</v>
      </c>
      <c r="I31" s="25">
        <f t="shared" si="8"/>
        <v>3086.5</v>
      </c>
      <c r="J31" s="25">
        <f>+(J25+N25)/2</f>
        <v>3075</v>
      </c>
      <c r="K31" s="27">
        <f>+(K25+O25)/2</f>
        <v>3087</v>
      </c>
      <c r="L31" s="25">
        <f>+(2988+L25)/2</f>
        <v>3026</v>
      </c>
      <c r="M31" s="25">
        <f>+(2974+M25)/2</f>
        <v>2987</v>
      </c>
      <c r="N31" s="25">
        <f>+(2987+N25)/2</f>
        <v>2998</v>
      </c>
      <c r="O31" s="25">
        <f>(O25+P25)/2</f>
        <v>3012</v>
      </c>
      <c r="P31" s="25">
        <f>(P25+3000)/2</f>
        <v>3003</v>
      </c>
    </row>
    <row r="32" spans="1:14" ht="11.25">
      <c r="A32" s="12" t="s">
        <v>25</v>
      </c>
      <c r="D32" s="6"/>
      <c r="E32" s="29"/>
      <c r="F32" s="28"/>
      <c r="K32" s="30"/>
      <c r="L32" s="5"/>
      <c r="M32" s="5"/>
      <c r="N32" s="5"/>
    </row>
    <row r="33" spans="1:16" ht="11.25">
      <c r="A33" s="3" t="s">
        <v>26</v>
      </c>
      <c r="C33" s="18">
        <v>2767</v>
      </c>
      <c r="D33" s="19">
        <v>2066</v>
      </c>
      <c r="E33" s="19">
        <v>1370</v>
      </c>
      <c r="F33" s="28">
        <v>675</v>
      </c>
      <c r="G33" s="18">
        <v>2475</v>
      </c>
      <c r="H33" s="18">
        <v>1743</v>
      </c>
      <c r="I33" s="18">
        <v>1133</v>
      </c>
      <c r="J33" s="18">
        <v>575</v>
      </c>
      <c r="K33" s="22">
        <v>1916</v>
      </c>
      <c r="L33" s="19">
        <v>1293</v>
      </c>
      <c r="M33" s="19">
        <v>746</v>
      </c>
      <c r="N33" s="19">
        <v>346</v>
      </c>
      <c r="O33" s="18">
        <v>968</v>
      </c>
      <c r="P33" s="18">
        <v>414</v>
      </c>
    </row>
    <row r="34" spans="1:16" ht="11.25">
      <c r="A34" s="3" t="s">
        <v>27</v>
      </c>
      <c r="C34" s="18">
        <v>2173</v>
      </c>
      <c r="D34" s="19">
        <v>1625</v>
      </c>
      <c r="E34" s="19">
        <v>1061</v>
      </c>
      <c r="F34" s="28">
        <v>525</v>
      </c>
      <c r="G34" s="18">
        <v>1947</v>
      </c>
      <c r="H34" s="18">
        <v>1359</v>
      </c>
      <c r="I34" s="18">
        <v>872</v>
      </c>
      <c r="J34" s="18">
        <v>448</v>
      </c>
      <c r="K34" s="22">
        <v>1500</v>
      </c>
      <c r="L34" s="19">
        <v>1071</v>
      </c>
      <c r="M34" s="19">
        <v>657</v>
      </c>
      <c r="N34" s="19">
        <v>308</v>
      </c>
      <c r="O34" s="18">
        <v>793</v>
      </c>
      <c r="P34" s="18">
        <v>203</v>
      </c>
    </row>
    <row r="35" spans="1:16" ht="11.25">
      <c r="A35" s="3" t="s">
        <v>28</v>
      </c>
      <c r="C35" s="18">
        <f>+C33-C34</f>
        <v>594</v>
      </c>
      <c r="D35" s="19">
        <f>+D33-D34</f>
        <v>441</v>
      </c>
      <c r="E35" s="19">
        <f>+E33-E34</f>
        <v>309</v>
      </c>
      <c r="F35" s="28">
        <f>+F33-F34</f>
        <v>150</v>
      </c>
      <c r="G35" s="3">
        <f>+G33-G34</f>
        <v>528</v>
      </c>
      <c r="H35" s="18">
        <f aca="true" t="shared" si="9" ref="H35:P35">H33-H34</f>
        <v>384</v>
      </c>
      <c r="I35" s="18">
        <f t="shared" si="9"/>
        <v>261</v>
      </c>
      <c r="J35" s="18">
        <f t="shared" si="9"/>
        <v>127</v>
      </c>
      <c r="K35" s="22">
        <f t="shared" si="9"/>
        <v>416</v>
      </c>
      <c r="L35" s="19">
        <f t="shared" si="9"/>
        <v>222</v>
      </c>
      <c r="M35" s="19">
        <f t="shared" si="9"/>
        <v>89</v>
      </c>
      <c r="N35" s="19">
        <f t="shared" si="9"/>
        <v>38</v>
      </c>
      <c r="O35" s="18">
        <f t="shared" si="9"/>
        <v>175</v>
      </c>
      <c r="P35" s="18">
        <f t="shared" si="9"/>
        <v>211</v>
      </c>
    </row>
    <row r="36" spans="1:16" ht="11.25">
      <c r="A36" s="3" t="s">
        <v>29</v>
      </c>
      <c r="C36" s="18">
        <v>27</v>
      </c>
      <c r="D36" s="19">
        <v>19</v>
      </c>
      <c r="E36" s="19">
        <v>14</v>
      </c>
      <c r="F36" s="28">
        <v>5</v>
      </c>
      <c r="G36" s="3">
        <v>30</v>
      </c>
      <c r="H36" s="18">
        <v>17</v>
      </c>
      <c r="I36" s="18">
        <v>11</v>
      </c>
      <c r="J36" s="18">
        <v>7</v>
      </c>
      <c r="K36" s="22">
        <v>38</v>
      </c>
      <c r="L36" s="19">
        <v>30</v>
      </c>
      <c r="M36" s="19">
        <v>20</v>
      </c>
      <c r="N36" s="19">
        <v>12</v>
      </c>
      <c r="O36" s="18">
        <v>75</v>
      </c>
      <c r="P36" s="18">
        <v>17</v>
      </c>
    </row>
    <row r="37" spans="1:16" ht="11.25">
      <c r="A37" s="3" t="s">
        <v>30</v>
      </c>
      <c r="C37" s="18">
        <f aca="true" t="shared" si="10" ref="C37:H37">+C36+C35</f>
        <v>621</v>
      </c>
      <c r="D37" s="19">
        <f t="shared" si="10"/>
        <v>460</v>
      </c>
      <c r="E37" s="19">
        <f t="shared" si="10"/>
        <v>323</v>
      </c>
      <c r="F37" s="28">
        <f t="shared" si="10"/>
        <v>155</v>
      </c>
      <c r="G37" s="3">
        <f t="shared" si="10"/>
        <v>558</v>
      </c>
      <c r="H37" s="18">
        <f t="shared" si="10"/>
        <v>401</v>
      </c>
      <c r="I37" s="18">
        <v>272</v>
      </c>
      <c r="J37" s="18">
        <f aca="true" t="shared" si="11" ref="J37:P37">J35+J36</f>
        <v>134</v>
      </c>
      <c r="K37" s="22">
        <f t="shared" si="11"/>
        <v>454</v>
      </c>
      <c r="L37" s="19">
        <f t="shared" si="11"/>
        <v>252</v>
      </c>
      <c r="M37" s="19">
        <f t="shared" si="11"/>
        <v>109</v>
      </c>
      <c r="N37" s="19">
        <f t="shared" si="11"/>
        <v>50</v>
      </c>
      <c r="O37" s="18">
        <f t="shared" si="11"/>
        <v>250</v>
      </c>
      <c r="P37" s="18">
        <f t="shared" si="11"/>
        <v>228</v>
      </c>
    </row>
    <row r="38" spans="1:16" ht="11.25">
      <c r="A38" s="3" t="s">
        <v>31</v>
      </c>
      <c r="C38" s="18">
        <v>496</v>
      </c>
      <c r="D38" s="19">
        <v>302</v>
      </c>
      <c r="E38" s="19">
        <v>202</v>
      </c>
      <c r="F38" s="28">
        <v>95</v>
      </c>
      <c r="G38" s="3">
        <v>445</v>
      </c>
      <c r="H38" s="18">
        <v>305</v>
      </c>
      <c r="I38" s="18">
        <v>197</v>
      </c>
      <c r="J38" s="18">
        <v>92</v>
      </c>
      <c r="K38" s="22">
        <v>314</v>
      </c>
      <c r="L38" s="19">
        <v>203</v>
      </c>
      <c r="M38" s="19">
        <v>126</v>
      </c>
      <c r="N38" s="19">
        <v>59</v>
      </c>
      <c r="O38" s="18">
        <v>238</v>
      </c>
      <c r="P38" s="18">
        <v>222</v>
      </c>
    </row>
    <row r="39" spans="1:16" ht="11.25">
      <c r="A39" s="3" t="s">
        <v>32</v>
      </c>
      <c r="C39" s="18">
        <f>+C37-C38</f>
        <v>125</v>
      </c>
      <c r="D39" s="19">
        <f>+D37-D38</f>
        <v>158</v>
      </c>
      <c r="E39" s="19">
        <f>+E37-E38</f>
        <v>121</v>
      </c>
      <c r="F39" s="28">
        <f>+F37-F38</f>
        <v>60</v>
      </c>
      <c r="G39" s="3">
        <f>+G37-G38</f>
        <v>113</v>
      </c>
      <c r="H39" s="18">
        <f aca="true" t="shared" si="12" ref="H39:P39">H37-H38</f>
        <v>96</v>
      </c>
      <c r="I39" s="18">
        <f t="shared" si="12"/>
        <v>75</v>
      </c>
      <c r="J39" s="18">
        <f t="shared" si="12"/>
        <v>42</v>
      </c>
      <c r="K39" s="22">
        <f t="shared" si="12"/>
        <v>140</v>
      </c>
      <c r="L39" s="19">
        <f t="shared" si="12"/>
        <v>49</v>
      </c>
      <c r="M39" s="19">
        <f t="shared" si="12"/>
        <v>-17</v>
      </c>
      <c r="N39" s="19">
        <f t="shared" si="12"/>
        <v>-9</v>
      </c>
      <c r="O39" s="18">
        <f t="shared" si="12"/>
        <v>12</v>
      </c>
      <c r="P39" s="18">
        <f t="shared" si="12"/>
        <v>6</v>
      </c>
    </row>
    <row r="40" spans="1:16" ht="11.25">
      <c r="A40" s="4" t="s">
        <v>33</v>
      </c>
      <c r="B40" s="4"/>
      <c r="C40" s="25">
        <f>+C39-77</f>
        <v>48</v>
      </c>
      <c r="D40" s="25">
        <v>80</v>
      </c>
      <c r="E40" s="25">
        <v>61</v>
      </c>
      <c r="F40" s="31">
        <f>+F39-30</f>
        <v>30</v>
      </c>
      <c r="G40" s="4">
        <f>+G39-60</f>
        <v>53</v>
      </c>
      <c r="H40" s="25">
        <v>66</v>
      </c>
      <c r="I40" s="25">
        <v>75</v>
      </c>
      <c r="J40" s="25">
        <v>42</v>
      </c>
      <c r="K40" s="27">
        <v>140</v>
      </c>
      <c r="L40" s="25">
        <v>49</v>
      </c>
      <c r="M40" s="25">
        <v>-17</v>
      </c>
      <c r="N40" s="25">
        <v>-9</v>
      </c>
      <c r="O40" s="25">
        <v>12</v>
      </c>
      <c r="P40" s="25">
        <v>6</v>
      </c>
    </row>
    <row r="41" spans="1:16" ht="11.25">
      <c r="A41" s="12" t="s">
        <v>34</v>
      </c>
      <c r="D41" s="18"/>
      <c r="E41" s="19"/>
      <c r="F41" s="28"/>
      <c r="I41" s="18"/>
      <c r="J41" s="6"/>
      <c r="K41" s="32"/>
      <c r="L41" s="6"/>
      <c r="M41" s="6"/>
      <c r="N41" s="5"/>
      <c r="O41" s="6"/>
      <c r="P41" s="6"/>
    </row>
    <row r="42" spans="1:16" ht="11.25">
      <c r="A42" s="5" t="s">
        <v>35</v>
      </c>
      <c r="B42" s="5"/>
      <c r="C42" s="18">
        <v>0</v>
      </c>
      <c r="D42" s="18">
        <v>0</v>
      </c>
      <c r="E42" s="19">
        <v>0</v>
      </c>
      <c r="F42" s="24">
        <v>0</v>
      </c>
      <c r="G42" s="33">
        <v>0</v>
      </c>
      <c r="H42" s="33">
        <v>0</v>
      </c>
      <c r="I42" s="18">
        <v>0</v>
      </c>
      <c r="J42" s="19">
        <v>0</v>
      </c>
      <c r="K42" s="22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1:16" ht="11.25">
      <c r="A43" s="5" t="s">
        <v>36</v>
      </c>
      <c r="B43" s="5"/>
      <c r="C43" s="5">
        <v>190</v>
      </c>
      <c r="D43" s="18">
        <v>190</v>
      </c>
      <c r="E43" s="19">
        <v>173</v>
      </c>
      <c r="F43" s="28">
        <v>143</v>
      </c>
      <c r="G43" s="5">
        <v>113</v>
      </c>
      <c r="H43" s="19">
        <v>83</v>
      </c>
      <c r="I43" s="18">
        <v>53</v>
      </c>
      <c r="J43" s="19">
        <v>56</v>
      </c>
      <c r="K43" s="22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</row>
    <row r="44" spans="1:16" ht="11.25">
      <c r="A44" s="5" t="s">
        <v>37</v>
      </c>
      <c r="B44" s="5"/>
      <c r="C44" s="33">
        <f aca="true" t="shared" si="13" ref="C44:I44">C42/C12</f>
        <v>0</v>
      </c>
      <c r="D44" s="33">
        <f t="shared" si="13"/>
        <v>0</v>
      </c>
      <c r="E44" s="33">
        <f t="shared" si="13"/>
        <v>0</v>
      </c>
      <c r="F44" s="24">
        <f t="shared" si="13"/>
        <v>0</v>
      </c>
      <c r="G44" s="23">
        <f t="shared" si="13"/>
        <v>0</v>
      </c>
      <c r="H44" s="23">
        <f t="shared" si="13"/>
        <v>0</v>
      </c>
      <c r="I44" s="23">
        <f t="shared" si="13"/>
        <v>0</v>
      </c>
      <c r="J44" s="33">
        <v>0</v>
      </c>
      <c r="K44" s="34">
        <v>0</v>
      </c>
      <c r="L44" s="33">
        <v>0</v>
      </c>
      <c r="M44" s="33">
        <v>0</v>
      </c>
      <c r="N44" s="33">
        <v>0</v>
      </c>
      <c r="O44" s="33">
        <v>0</v>
      </c>
      <c r="P44" s="35">
        <v>0</v>
      </c>
    </row>
    <row r="45" spans="1:16" ht="11.25">
      <c r="A45" s="5" t="s">
        <v>38</v>
      </c>
      <c r="B45" s="5"/>
      <c r="C45" s="33">
        <v>-1</v>
      </c>
      <c r="D45" s="33">
        <v>0</v>
      </c>
      <c r="E45" s="33">
        <v>0</v>
      </c>
      <c r="F45" s="24">
        <v>0</v>
      </c>
      <c r="G45" s="33">
        <v>0</v>
      </c>
      <c r="H45" s="23">
        <v>0</v>
      </c>
      <c r="I45" s="23">
        <v>0</v>
      </c>
      <c r="J45" s="33">
        <v>0</v>
      </c>
      <c r="K45" s="34">
        <v>0</v>
      </c>
      <c r="L45" s="33">
        <v>0</v>
      </c>
      <c r="M45" s="33">
        <v>0</v>
      </c>
      <c r="N45" s="33">
        <v>0</v>
      </c>
      <c r="O45" s="33">
        <v>0</v>
      </c>
      <c r="P45" s="35">
        <v>0</v>
      </c>
    </row>
    <row r="46" spans="1:16" ht="11.25">
      <c r="A46" s="4" t="s">
        <v>39</v>
      </c>
      <c r="B46" s="4"/>
      <c r="C46" s="36">
        <f>C43/C12</f>
        <v>0.013721383693218748</v>
      </c>
      <c r="D46" s="36">
        <f>D43/D12</f>
        <v>0.010467742824086827</v>
      </c>
      <c r="E46" s="37">
        <f>+E43/E12</f>
        <v>0.010488662543955378</v>
      </c>
      <c r="F46" s="38">
        <f>+F43/F12</f>
        <v>0.008273069135088226</v>
      </c>
      <c r="G46" s="37">
        <f>+G43/G12</f>
        <v>0.005322405915877726</v>
      </c>
      <c r="H46" s="36">
        <f>H43/H12</f>
        <v>0.005116823870291597</v>
      </c>
      <c r="I46" s="36">
        <f>I43/I12</f>
        <v>0.0035494240557192606</v>
      </c>
      <c r="J46" s="36">
        <f>+J43/J12</f>
        <v>0.00363919937613725</v>
      </c>
      <c r="K46" s="39">
        <v>0</v>
      </c>
      <c r="L46" s="40">
        <v>0</v>
      </c>
      <c r="M46" s="40">
        <v>0</v>
      </c>
      <c r="N46" s="40">
        <v>0</v>
      </c>
      <c r="O46" s="40">
        <v>0</v>
      </c>
      <c r="P46" s="36">
        <v>0</v>
      </c>
    </row>
    <row r="47" spans="1:49" s="2" customFormat="1" ht="11.25">
      <c r="A47" s="41" t="s">
        <v>40</v>
      </c>
      <c r="B47" s="42"/>
      <c r="C47" s="42"/>
      <c r="D47" s="3"/>
      <c r="E47" s="19"/>
      <c r="F47" s="43"/>
      <c r="G47" s="44"/>
      <c r="H47" s="44"/>
      <c r="I47" s="44"/>
      <c r="J47" s="45"/>
      <c r="K47" s="44"/>
      <c r="L47" s="44"/>
      <c r="M47" s="44"/>
      <c r="N47" s="46"/>
      <c r="O47" s="44"/>
      <c r="P47" s="44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</row>
    <row r="48" spans="1:49" s="2" customFormat="1" ht="11.25">
      <c r="A48" s="42" t="s">
        <v>41</v>
      </c>
      <c r="B48" s="42"/>
      <c r="C48" s="35">
        <f>+C25/C12</f>
        <v>0.23109698851736837</v>
      </c>
      <c r="D48" s="35">
        <f>+D25/D12</f>
        <v>0.1780618147760454</v>
      </c>
      <c r="E48" s="35">
        <f>+E25/E12</f>
        <v>0.19473748029586516</v>
      </c>
      <c r="F48" s="47">
        <f aca="true" t="shared" si="14" ref="F48:P48">F25/F12</f>
        <v>0.18409025166329188</v>
      </c>
      <c r="G48" s="48">
        <f t="shared" si="14"/>
        <v>0.14841505345956385</v>
      </c>
      <c r="H48" s="48">
        <f t="shared" si="14"/>
        <v>0.19511744035509523</v>
      </c>
      <c r="I48" s="48">
        <f t="shared" si="14"/>
        <v>0.21249665148673988</v>
      </c>
      <c r="J48" s="47">
        <f t="shared" si="14"/>
        <v>0.20412009357941252</v>
      </c>
      <c r="K48" s="48">
        <f t="shared" si="14"/>
        <v>0.1847883365536624</v>
      </c>
      <c r="L48" s="48">
        <f t="shared" si="14"/>
        <v>0.16839791151415223</v>
      </c>
      <c r="M48" s="48">
        <f t="shared" si="14"/>
        <v>0.17328019407381737</v>
      </c>
      <c r="N48" s="48">
        <f t="shared" si="14"/>
        <v>0.19421674304524625</v>
      </c>
      <c r="O48" s="48">
        <f t="shared" si="14"/>
        <v>0.23438956197576888</v>
      </c>
      <c r="P48" s="48">
        <f t="shared" si="14"/>
        <v>0.4707171938615722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</row>
    <row r="49" spans="1:49" s="2" customFormat="1" ht="11.25">
      <c r="A49" s="49" t="s">
        <v>42</v>
      </c>
      <c r="B49" s="49"/>
      <c r="C49" s="36">
        <f aca="true" t="shared" si="15" ref="C49:P49">C25/(C12+C15)</f>
        <v>0.1654003204631209</v>
      </c>
      <c r="D49" s="36">
        <f t="shared" si="15"/>
        <v>0.13665384127521035</v>
      </c>
      <c r="E49" s="36">
        <f t="shared" si="15"/>
        <v>0.1460398290442848</v>
      </c>
      <c r="F49" s="50">
        <f t="shared" si="15"/>
        <v>0.13965328066710556</v>
      </c>
      <c r="G49" s="51">
        <f t="shared" si="15"/>
        <v>0.13004003136478065</v>
      </c>
      <c r="H49" s="51">
        <f t="shared" si="15"/>
        <v>0.16466364913375994</v>
      </c>
      <c r="I49" s="51">
        <f t="shared" si="15"/>
        <v>0.17694624135623466</v>
      </c>
      <c r="J49" s="50">
        <f t="shared" si="15"/>
        <v>0.17081792473352186</v>
      </c>
      <c r="K49" s="51">
        <f t="shared" si="15"/>
        <v>0.1571791423875691</v>
      </c>
      <c r="L49" s="51">
        <f t="shared" si="15"/>
        <v>0.16839791151415223</v>
      </c>
      <c r="M49" s="51">
        <f t="shared" si="15"/>
        <v>0.17328019407381737</v>
      </c>
      <c r="N49" s="51">
        <f t="shared" si="15"/>
        <v>0.19421674304524625</v>
      </c>
      <c r="O49" s="51">
        <f t="shared" si="15"/>
        <v>0.23438956197576888</v>
      </c>
      <c r="P49" s="51">
        <f t="shared" si="15"/>
        <v>0.4707171938615722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</row>
    <row r="50" spans="1:14" ht="11.25">
      <c r="A50" s="12" t="s">
        <v>43</v>
      </c>
      <c r="C50" s="19"/>
      <c r="D50" s="19"/>
      <c r="E50" s="19"/>
      <c r="F50" s="28"/>
      <c r="K50" s="30"/>
      <c r="L50" s="5"/>
      <c r="M50" s="5"/>
      <c r="N50" s="5"/>
    </row>
    <row r="51" spans="1:16" ht="11.25">
      <c r="A51" s="3" t="s">
        <v>44</v>
      </c>
      <c r="C51" s="35">
        <f aca="true" t="shared" si="16" ref="C51:P51">C11/C16</f>
        <v>0.31060014138482717</v>
      </c>
      <c r="D51" s="35">
        <f t="shared" si="16"/>
        <v>0.08343379754728747</v>
      </c>
      <c r="E51" s="35">
        <f t="shared" si="16"/>
        <v>0.09396828186091465</v>
      </c>
      <c r="F51" s="52">
        <f t="shared" si="16"/>
        <v>0.1032016348773842</v>
      </c>
      <c r="G51" s="53">
        <f t="shared" si="16"/>
        <v>0.06712225389904411</v>
      </c>
      <c r="H51" s="53">
        <f t="shared" si="16"/>
        <v>0.20994603647190174</v>
      </c>
      <c r="I51" s="53">
        <f t="shared" si="16"/>
        <v>0.16547842401500937</v>
      </c>
      <c r="J51" s="54">
        <f t="shared" si="16"/>
        <v>0.10885787524921675</v>
      </c>
      <c r="K51" s="55">
        <f t="shared" si="16"/>
        <v>0.12401146698299723</v>
      </c>
      <c r="L51" s="35">
        <f t="shared" si="16"/>
        <v>0.08119759064603756</v>
      </c>
      <c r="M51" s="35">
        <f t="shared" si="16"/>
        <v>0.05969959266802444</v>
      </c>
      <c r="N51" s="35">
        <f t="shared" si="16"/>
        <v>0.12850435022786907</v>
      </c>
      <c r="O51" s="54">
        <f t="shared" si="16"/>
        <v>0.07739456591345714</v>
      </c>
      <c r="P51" s="54">
        <f t="shared" si="16"/>
        <v>0.05501702908042966</v>
      </c>
    </row>
    <row r="52" spans="1:16" ht="11.25">
      <c r="A52" s="3" t="s">
        <v>45</v>
      </c>
      <c r="C52" s="35">
        <f aca="true" t="shared" si="17" ref="C52:P52">C11/C10</f>
        <v>0.2592385566113906</v>
      </c>
      <c r="D52" s="35">
        <f t="shared" si="17"/>
        <v>0.07087364926901617</v>
      </c>
      <c r="E52" s="35">
        <f t="shared" si="17"/>
        <v>0.0801633999175505</v>
      </c>
      <c r="F52" s="52">
        <f t="shared" si="17"/>
        <v>0.08837361916220059</v>
      </c>
      <c r="G52" s="53">
        <f t="shared" si="17"/>
        <v>0.05777072132212319</v>
      </c>
      <c r="H52" s="53">
        <f t="shared" si="17"/>
        <v>0.17858414783744211</v>
      </c>
      <c r="I52" s="53">
        <f t="shared" si="17"/>
        <v>0.1377571511446294</v>
      </c>
      <c r="J52" s="54">
        <f t="shared" si="17"/>
        <v>0.0887104261442763</v>
      </c>
      <c r="K52" s="55">
        <f t="shared" si="17"/>
        <v>0.1037677323297076</v>
      </c>
      <c r="L52" s="35">
        <f t="shared" si="17"/>
        <v>0.06622676042770446</v>
      </c>
      <c r="M52" s="35">
        <f t="shared" si="17"/>
        <v>0.04820143884892086</v>
      </c>
      <c r="N52" s="35">
        <f t="shared" si="17"/>
        <v>0.10145559614021697</v>
      </c>
      <c r="O52" s="54">
        <f t="shared" si="17"/>
        <v>0.05824841641421096</v>
      </c>
      <c r="P52" s="54">
        <f t="shared" si="17"/>
        <v>0.029631720050797235</v>
      </c>
    </row>
    <row r="53" spans="1:16" ht="11.25">
      <c r="A53" s="4" t="s">
        <v>46</v>
      </c>
      <c r="B53" s="4"/>
      <c r="C53" s="36">
        <f aca="true" t="shared" si="18" ref="C53:P53">(C11+C15)/C16</f>
        <v>0.5152360754548498</v>
      </c>
      <c r="D53" s="36">
        <f t="shared" si="18"/>
        <v>0.31207649137393473</v>
      </c>
      <c r="E53" s="36">
        <f t="shared" si="18"/>
        <v>0.33558845494882045</v>
      </c>
      <c r="F53" s="56">
        <f t="shared" si="18"/>
        <v>0.33736376021798364</v>
      </c>
      <c r="G53" s="57">
        <f t="shared" si="18"/>
        <v>0.19289787019956398</v>
      </c>
      <c r="H53" s="57">
        <f t="shared" si="18"/>
        <v>0.34950688500186083</v>
      </c>
      <c r="I53" s="57">
        <f t="shared" si="18"/>
        <v>0.3262932189761458</v>
      </c>
      <c r="J53" s="36">
        <f t="shared" si="18"/>
        <v>0.27974935915693533</v>
      </c>
      <c r="K53" s="58">
        <f t="shared" si="18"/>
        <v>0.2722914195334124</v>
      </c>
      <c r="L53" s="36">
        <f t="shared" si="18"/>
        <v>0.08119759064603756</v>
      </c>
      <c r="M53" s="36">
        <f t="shared" si="18"/>
        <v>0.05969959266802444</v>
      </c>
      <c r="N53" s="36">
        <f t="shared" si="18"/>
        <v>0.12850435022786907</v>
      </c>
      <c r="O53" s="36">
        <f t="shared" si="18"/>
        <v>0.07739456591345714</v>
      </c>
      <c r="P53" s="36">
        <f t="shared" si="18"/>
        <v>0.05501702908042966</v>
      </c>
    </row>
    <row r="54" spans="1:14" ht="11.25">
      <c r="A54" s="12" t="s">
        <v>47</v>
      </c>
      <c r="D54" s="19"/>
      <c r="E54" s="19"/>
      <c r="F54" s="28"/>
      <c r="K54" s="30"/>
      <c r="L54" s="5"/>
      <c r="M54" s="5"/>
      <c r="N54" s="5"/>
    </row>
    <row r="55" spans="1:16" ht="11.25">
      <c r="A55" s="3" t="s">
        <v>48</v>
      </c>
      <c r="B55" s="5"/>
      <c r="C55" s="48">
        <f>C40/C28</f>
        <v>0.0022029464408646563</v>
      </c>
      <c r="D55" s="35">
        <f>(D40/0.75)/D28</f>
        <v>0.004976052746159109</v>
      </c>
      <c r="E55" s="35">
        <f>(E40/0.5)/E28</f>
        <v>0.006111305915944497</v>
      </c>
      <c r="F55" s="59">
        <f>((F40)/0.25)/F28</f>
        <v>0.005829062735287689</v>
      </c>
      <c r="G55" s="48">
        <f>G40/G28</f>
        <v>0.002392236515459264</v>
      </c>
      <c r="H55" s="48">
        <f>(H40/0.75)/H28</f>
        <v>0.004703870002138123</v>
      </c>
      <c r="I55" s="54">
        <f>(I40/0.5)/I28</f>
        <v>0.008511845651865513</v>
      </c>
      <c r="J55" s="54">
        <f>((J40)/0.25)/J28</f>
        <v>0.009917062660488179</v>
      </c>
      <c r="K55" s="60">
        <f>K40/K28</f>
        <v>0.008496434531937491</v>
      </c>
      <c r="L55" s="48">
        <f>(L40/0.75)/L28</f>
        <v>0.0042951372909955515</v>
      </c>
      <c r="M55" s="48">
        <f>(M40/0.5)/M28</f>
        <v>-0.0024680603948896633</v>
      </c>
      <c r="N55" s="35">
        <f>((N40)/0.25)/N28</f>
        <v>-0.002940335688324417</v>
      </c>
      <c r="O55" s="54">
        <f>O40/O28</f>
        <v>0.0012459765341086076</v>
      </c>
      <c r="P55" s="54">
        <f>P40/P28</f>
        <v>0.0010539258738802037</v>
      </c>
    </row>
    <row r="56" spans="1:16" ht="11.25">
      <c r="A56" s="3" t="s">
        <v>49</v>
      </c>
      <c r="B56" s="5"/>
      <c r="C56" s="48">
        <f>C40/C27</f>
        <v>0.0016022698823333055</v>
      </c>
      <c r="D56" s="35">
        <f>(D40/0.75)/D27</f>
        <v>0.003980916481616252</v>
      </c>
      <c r="E56" s="35">
        <f>(E40/0.5)/E27</f>
        <v>0.004970259920149923</v>
      </c>
      <c r="F56" s="59">
        <f>((F40)/0.25)/F27</f>
        <v>0.004900859692471054</v>
      </c>
      <c r="G56" s="48">
        <f>G40/G27</f>
        <v>0.002042704077699838</v>
      </c>
      <c r="H56" s="48">
        <f>(H40/0.75)/H27</f>
        <v>0.0038233441226945887</v>
      </c>
      <c r="I56" s="54">
        <f>(I40/0.5)/I27</f>
        <v>0.007165205760825431</v>
      </c>
      <c r="J56" s="54">
        <f>((J40)/0.25)/J27</f>
        <v>0.008424219631440391</v>
      </c>
      <c r="K56" s="60">
        <f>K40/K27</f>
        <v>0.007234581298607343</v>
      </c>
      <c r="L56" s="48">
        <f>(L40/0.75)/L27</f>
        <v>0.003804310905367766</v>
      </c>
      <c r="M56" s="48">
        <f>(M40/0.5)/M27</f>
        <v>-0.00222244010850737</v>
      </c>
      <c r="N56" s="35">
        <f>((N40)/0.25)/N27</f>
        <v>-0.0025489432506106842</v>
      </c>
      <c r="O56" s="54">
        <f>O40/O27</f>
        <v>0.0011105455555041415</v>
      </c>
      <c r="P56" s="54">
        <f>P40/P27</f>
        <v>0.0009896907216494846</v>
      </c>
    </row>
    <row r="57" spans="1:16" ht="11.25">
      <c r="A57" s="3" t="s">
        <v>50</v>
      </c>
      <c r="B57" s="5"/>
      <c r="C57" s="48">
        <f>+C40/C31</f>
        <v>0.015115729806329713</v>
      </c>
      <c r="D57" s="35">
        <f>(D40/0.75)/D31</f>
        <v>0.03334896566098692</v>
      </c>
      <c r="E57" s="35">
        <f>(E40/0.5)/E31</f>
        <v>0.03821456538762725</v>
      </c>
      <c r="F57" s="59">
        <f>((F40)/0.25)/F31</f>
        <v>0.037956666139490745</v>
      </c>
      <c r="G57" s="48">
        <f>+G40/G31</f>
        <v>0.01680672268907563</v>
      </c>
      <c r="H57" s="48">
        <f>(H40/0.75)/H31</f>
        <v>0.02825493658693209</v>
      </c>
      <c r="I57" s="54">
        <f>(I40/0.5)/I31</f>
        <v>0.04859873643285274</v>
      </c>
      <c r="J57" s="54">
        <f>((J40)/0.25)/J31</f>
        <v>0.054634146341463415</v>
      </c>
      <c r="K57" s="60">
        <f>+K40/K31</f>
        <v>0.045351473922902494</v>
      </c>
      <c r="L57" s="48">
        <f>(L40/0.75)/L31</f>
        <v>0.02159065873540427</v>
      </c>
      <c r="M57" s="48">
        <f>(M40/0.5)/M31</f>
        <v>-0.011382658185470372</v>
      </c>
      <c r="N57" s="35">
        <f>((N40)/0.25)/N31</f>
        <v>-0.01200800533689126</v>
      </c>
      <c r="O57" s="54">
        <f>O40/O31</f>
        <v>0.00398406374501992</v>
      </c>
      <c r="P57" s="54">
        <f>P40/P31</f>
        <v>0.001998001998001998</v>
      </c>
    </row>
    <row r="58" spans="1:16" ht="11.25">
      <c r="A58" s="3" t="s">
        <v>51</v>
      </c>
      <c r="B58" s="5"/>
      <c r="C58" s="48">
        <f>C33/C28</f>
        <v>0.12699068337234384</v>
      </c>
      <c r="D58" s="35">
        <f>(D33/0.75)/D28</f>
        <v>0.128506562169559</v>
      </c>
      <c r="E58" s="35">
        <f>(E33/0.5)/E28</f>
        <v>0.13725391975154036</v>
      </c>
      <c r="F58" s="59">
        <f>((F33)/0.25)/F28</f>
        <v>0.131153911543973</v>
      </c>
      <c r="G58" s="48">
        <f>G33/G28</f>
        <v>0.11171293161814488</v>
      </c>
      <c r="H58" s="48">
        <f>(H33/0.75)/H28</f>
        <v>0.12422493051101133</v>
      </c>
      <c r="I58" s="54">
        <f>(I33/0.5)/I28</f>
        <v>0.12858561498084833</v>
      </c>
      <c r="J58" s="54">
        <f>((J33)/0.25)/J28</f>
        <v>0.1357693102328739</v>
      </c>
      <c r="K58" s="60">
        <f>K33/K28</f>
        <v>0.11627977545137308</v>
      </c>
      <c r="L58" s="48">
        <f>(L33/0.75)/L28</f>
        <v>0.11333903096443364</v>
      </c>
      <c r="M58" s="48">
        <f>(M33/0.5)/M28</f>
        <v>0.10830429732868757</v>
      </c>
      <c r="N58" s="35">
        <f>((N33)/0.25)/N28</f>
        <v>0.11303957201780536</v>
      </c>
      <c r="O58" s="54">
        <f>O33/O28</f>
        <v>0.10050877375142768</v>
      </c>
      <c r="P58" s="54">
        <f>P33/P27</f>
        <v>0.06828865979381443</v>
      </c>
    </row>
    <row r="59" spans="1:16" ht="11.25">
      <c r="A59" s="3" t="s">
        <v>52</v>
      </c>
      <c r="B59" s="5"/>
      <c r="C59" s="48">
        <f>C34/C28</f>
        <v>0.09972922116664372</v>
      </c>
      <c r="D59" s="35">
        <f>(D34/0.75)/D28</f>
        <v>0.1010760714063569</v>
      </c>
      <c r="E59" s="35">
        <f>(E34/0.5)/E28</f>
        <v>0.10629664880028052</v>
      </c>
      <c r="F59" s="59">
        <f>((F34)/0.25)/F28</f>
        <v>0.10200859786753455</v>
      </c>
      <c r="G59" s="48">
        <f>G34/G28</f>
        <v>0.0878808395396073</v>
      </c>
      <c r="H59" s="48">
        <f>(H34/0.75)/H28</f>
        <v>0.09685695958948044</v>
      </c>
      <c r="I59" s="54">
        <f>(I34/0.5)/I28</f>
        <v>0.09896439211235636</v>
      </c>
      <c r="J59" s="54">
        <f>((J34)/0.25)/J28</f>
        <v>0.10578200171187391</v>
      </c>
      <c r="K59" s="60">
        <f>K34/K28</f>
        <v>0.09103322712790168</v>
      </c>
      <c r="L59" s="48">
        <f>(L34/0.75)/L28</f>
        <v>0.09387942936033133</v>
      </c>
      <c r="M59" s="48">
        <f>(M34/0.5)/M28</f>
        <v>0.09538327526132404</v>
      </c>
      <c r="N59" s="35">
        <f>((N34)/0.25)/N28</f>
        <v>0.10062482133376893</v>
      </c>
      <c r="O59" s="54">
        <f>O34/O28</f>
        <v>0.08233828262901048</v>
      </c>
      <c r="P59" s="54">
        <f>P34/P27</f>
        <v>0.033484536082474224</v>
      </c>
    </row>
    <row r="60" spans="1:16" ht="11.25">
      <c r="A60" s="3" t="s">
        <v>53</v>
      </c>
      <c r="B60" s="5"/>
      <c r="C60" s="48">
        <f>C35/C28</f>
        <v>0.027261462205700124</v>
      </c>
      <c r="D60" s="35">
        <f>(D35/0.75)/D28</f>
        <v>0.02743049076320209</v>
      </c>
      <c r="E60" s="35">
        <f>(E35/0.5)/E28</f>
        <v>0.03095727095125983</v>
      </c>
      <c r="F60" s="59">
        <f>((F35)/0.25)/F28</f>
        <v>0.029145313676438443</v>
      </c>
      <c r="G60" s="48">
        <f>G35/G28</f>
        <v>0.023832092078537575</v>
      </c>
      <c r="H60" s="48">
        <f>(H35/0.75)/H28</f>
        <v>0.027367970921530895</v>
      </c>
      <c r="I60" s="54">
        <f>(I35/0.5)/I28</f>
        <v>0.029621222868491986</v>
      </c>
      <c r="J60" s="54">
        <f>((J35)/0.25)/J28</f>
        <v>0.02998730852099997</v>
      </c>
      <c r="K60" s="60">
        <f>K35/K28</f>
        <v>0.0252465483234714</v>
      </c>
      <c r="L60" s="48">
        <f>(L35/0.75)/L28</f>
        <v>0.019459601604102296</v>
      </c>
      <c r="M60" s="48">
        <f>(M35/0.5)/M28</f>
        <v>0.01292102206736353</v>
      </c>
      <c r="N60" s="35">
        <f>((N35)/0.25)/N28</f>
        <v>0.012414750684036427</v>
      </c>
      <c r="O60" s="54">
        <f>O35/O28</f>
        <v>0.018170491122417195</v>
      </c>
      <c r="P60" s="54">
        <f>P35/P27</f>
        <v>0.03480412371134021</v>
      </c>
    </row>
    <row r="61" spans="1:16" ht="11.25">
      <c r="A61" s="3" t="s">
        <v>54</v>
      </c>
      <c r="B61" s="5"/>
      <c r="C61" s="48">
        <f>C38/C37</f>
        <v>0.7987117552334944</v>
      </c>
      <c r="D61" s="35">
        <f>(D38/0.75)/(D37/0.75)</f>
        <v>0.6565217391304348</v>
      </c>
      <c r="E61" s="35">
        <f>(E38/0.5)/(E37/0.5)</f>
        <v>0.6253869969040248</v>
      </c>
      <c r="F61" s="59">
        <f>(F38/0.25)/(F37/0.25)</f>
        <v>0.6129032258064516</v>
      </c>
      <c r="G61" s="48">
        <f>G38/G37</f>
        <v>0.7974910394265233</v>
      </c>
      <c r="H61" s="48">
        <f>(H38/0.75)/(H37/0.75)</f>
        <v>0.7605985037406485</v>
      </c>
      <c r="I61" s="54">
        <f>(I38/0.5)/(I37/0.5)</f>
        <v>0.7242647058823529</v>
      </c>
      <c r="J61" s="54">
        <f>(J38/0.25)/(J37/0.25)</f>
        <v>0.6865671641791045</v>
      </c>
      <c r="K61" s="60">
        <f>K38/K37</f>
        <v>0.6916299559471366</v>
      </c>
      <c r="L61" s="48">
        <f>(L38/0.75)/(L37/0.75)</f>
        <v>0.8055555555555556</v>
      </c>
      <c r="M61" s="48">
        <f>(M38/0.5)/(M37/0.5)</f>
        <v>1.1559633027522935</v>
      </c>
      <c r="N61" s="35">
        <f>(N38/0.25)/(N37/0.25)</f>
        <v>1.18</v>
      </c>
      <c r="O61" s="54">
        <f>O38/O37</f>
        <v>0.952</v>
      </c>
      <c r="P61" s="54">
        <f>P38/P37</f>
        <v>0.9736842105263158</v>
      </c>
    </row>
    <row r="62" spans="1:16" ht="11.25">
      <c r="A62" s="4" t="s">
        <v>55</v>
      </c>
      <c r="B62" s="4"/>
      <c r="C62" s="51">
        <f>C36/C28</f>
        <v>0.0012391573729863693</v>
      </c>
      <c r="D62" s="36">
        <f>(D36/0.75)/D28</f>
        <v>0.0011818125272127884</v>
      </c>
      <c r="E62" s="36">
        <f>(E36/0.5)/E28</f>
        <v>0.0014025948003807043</v>
      </c>
      <c r="F62" s="61">
        <f>(F36/0.25)/F28</f>
        <v>0.0009715104558812814</v>
      </c>
      <c r="G62" s="51">
        <f>G36/G28</f>
        <v>0.0013540961408259986</v>
      </c>
      <c r="H62" s="51">
        <f>(H36/0.75)/H28</f>
        <v>0.0012116028793386073</v>
      </c>
      <c r="I62" s="36">
        <f>(I36/0.5)/I28</f>
        <v>0.0012484040289402751</v>
      </c>
      <c r="J62" s="36">
        <f>(J36/0.25)/J28</f>
        <v>0.0016528437767480298</v>
      </c>
      <c r="K62" s="62">
        <f>K36/K28</f>
        <v>0.002306175087240176</v>
      </c>
      <c r="L62" s="51">
        <f>(L36/0.75)/L28</f>
        <v>0.002629675892446256</v>
      </c>
      <c r="M62" s="51">
        <f>(M36/0.5)/M28</f>
        <v>0.0029036004645760743</v>
      </c>
      <c r="N62" s="36">
        <f>(N36/0.25)/N28</f>
        <v>0.003920447584432556</v>
      </c>
      <c r="O62" s="36">
        <f>O36/O28</f>
        <v>0.007787353338178798</v>
      </c>
      <c r="P62" s="36">
        <f>P36/P27</f>
        <v>0.0028041237113402063</v>
      </c>
    </row>
    <row r="63" spans="1:14" ht="11.25">
      <c r="A63" s="12" t="s">
        <v>56</v>
      </c>
      <c r="E63" s="19"/>
      <c r="F63" s="28"/>
      <c r="K63" s="30"/>
      <c r="L63" s="5"/>
      <c r="M63" s="5"/>
      <c r="N63" s="5"/>
    </row>
    <row r="64" spans="1:16" ht="11.25">
      <c r="A64" s="3" t="s">
        <v>57</v>
      </c>
      <c r="C64" s="3">
        <v>7</v>
      </c>
      <c r="D64" s="18">
        <v>7</v>
      </c>
      <c r="E64" s="19">
        <v>6</v>
      </c>
      <c r="F64" s="28">
        <v>6</v>
      </c>
      <c r="G64" s="3">
        <v>7</v>
      </c>
      <c r="H64" s="18">
        <v>7</v>
      </c>
      <c r="I64" s="18">
        <v>7</v>
      </c>
      <c r="J64" s="18">
        <v>6</v>
      </c>
      <c r="K64" s="22">
        <v>6</v>
      </c>
      <c r="L64" s="19">
        <v>6</v>
      </c>
      <c r="M64" s="19">
        <v>6</v>
      </c>
      <c r="N64" s="19">
        <v>5</v>
      </c>
      <c r="O64" s="18">
        <v>3</v>
      </c>
      <c r="P64" s="18">
        <v>6</v>
      </c>
    </row>
    <row r="65" spans="1:16" ht="11.25">
      <c r="A65" s="3" t="s">
        <v>58</v>
      </c>
      <c r="C65" s="3">
        <v>1</v>
      </c>
      <c r="D65" s="18">
        <v>1</v>
      </c>
      <c r="E65" s="19">
        <v>1</v>
      </c>
      <c r="F65" s="28">
        <v>1</v>
      </c>
      <c r="G65" s="3">
        <v>1</v>
      </c>
      <c r="H65" s="18">
        <v>1</v>
      </c>
      <c r="I65" s="18">
        <v>1</v>
      </c>
      <c r="J65" s="18">
        <v>1</v>
      </c>
      <c r="K65" s="22">
        <v>1</v>
      </c>
      <c r="L65" s="19">
        <v>1</v>
      </c>
      <c r="M65" s="19">
        <v>1</v>
      </c>
      <c r="N65" s="19">
        <v>1</v>
      </c>
      <c r="O65" s="18">
        <v>1</v>
      </c>
      <c r="P65" s="18">
        <v>1</v>
      </c>
    </row>
    <row r="66" spans="1:16" ht="11.25">
      <c r="A66" s="3" t="s">
        <v>59</v>
      </c>
      <c r="C66" s="19">
        <f aca="true" t="shared" si="19" ref="C66:P66">C12/C64</f>
        <v>1978.142857142857</v>
      </c>
      <c r="D66" s="19">
        <f t="shared" si="19"/>
        <v>2593</v>
      </c>
      <c r="E66" s="19">
        <f t="shared" si="19"/>
        <v>2749</v>
      </c>
      <c r="F66" s="20">
        <f t="shared" si="19"/>
        <v>2880.8333333333335</v>
      </c>
      <c r="G66" s="18">
        <f t="shared" si="19"/>
        <v>3033</v>
      </c>
      <c r="H66" s="18">
        <f t="shared" si="19"/>
        <v>2317.285714285714</v>
      </c>
      <c r="I66" s="18">
        <f t="shared" si="19"/>
        <v>2133.1428571428573</v>
      </c>
      <c r="J66" s="18">
        <f t="shared" si="19"/>
        <v>2564.6666666666665</v>
      </c>
      <c r="K66" s="22">
        <f t="shared" si="19"/>
        <v>2846.5</v>
      </c>
      <c r="L66" s="19">
        <f t="shared" si="19"/>
        <v>3032.5</v>
      </c>
      <c r="M66" s="19">
        <f t="shared" si="19"/>
        <v>2885.5</v>
      </c>
      <c r="N66" s="19">
        <f t="shared" si="19"/>
        <v>3098.6</v>
      </c>
      <c r="O66" s="18">
        <f t="shared" si="19"/>
        <v>4292</v>
      </c>
      <c r="P66" s="18">
        <f t="shared" si="19"/>
        <v>1064.3333333333333</v>
      </c>
    </row>
    <row r="67" spans="1:16" ht="11.25">
      <c r="A67" s="3" t="s">
        <v>60</v>
      </c>
      <c r="C67" s="19">
        <f aca="true" t="shared" si="20" ref="C67:P67">+C16/C64</f>
        <v>3839.5714285714284</v>
      </c>
      <c r="D67" s="19">
        <f t="shared" si="20"/>
        <v>3436.4285714285716</v>
      </c>
      <c r="E67" s="19">
        <f t="shared" si="20"/>
        <v>3793.8333333333335</v>
      </c>
      <c r="F67" s="20">
        <f t="shared" si="20"/>
        <v>3914.6666666666665</v>
      </c>
      <c r="G67" s="18">
        <f t="shared" si="20"/>
        <v>3407.4285714285716</v>
      </c>
      <c r="H67" s="18">
        <f t="shared" si="20"/>
        <v>3070.8571428571427</v>
      </c>
      <c r="I67" s="18">
        <f t="shared" si="20"/>
        <v>2665</v>
      </c>
      <c r="J67" s="18">
        <f t="shared" si="20"/>
        <v>2925.8333333333335</v>
      </c>
      <c r="K67" s="22">
        <f t="shared" si="20"/>
        <v>3372</v>
      </c>
      <c r="L67" s="19">
        <f t="shared" si="20"/>
        <v>2822.3333333333335</v>
      </c>
      <c r="M67" s="19">
        <f t="shared" si="20"/>
        <v>2618.6666666666665</v>
      </c>
      <c r="N67" s="19">
        <f t="shared" si="20"/>
        <v>2896.4</v>
      </c>
      <c r="O67" s="18">
        <f t="shared" si="20"/>
        <v>3643.6666666666665</v>
      </c>
      <c r="P67" s="18">
        <f t="shared" si="20"/>
        <v>636.1666666666666</v>
      </c>
    </row>
    <row r="68" spans="1:16" ht="11.25">
      <c r="A68" s="4" t="s">
        <v>61</v>
      </c>
      <c r="B68" s="4"/>
      <c r="C68" s="25">
        <f aca="true" t="shared" si="21" ref="C68:P68">+C40/C64</f>
        <v>6.857142857142857</v>
      </c>
      <c r="D68" s="25">
        <f t="shared" si="21"/>
        <v>11.428571428571429</v>
      </c>
      <c r="E68" s="25">
        <f t="shared" si="21"/>
        <v>10.166666666666666</v>
      </c>
      <c r="F68" s="26">
        <f t="shared" si="21"/>
        <v>5</v>
      </c>
      <c r="G68" s="25">
        <f t="shared" si="21"/>
        <v>7.571428571428571</v>
      </c>
      <c r="H68" s="25">
        <f t="shared" si="21"/>
        <v>9.428571428571429</v>
      </c>
      <c r="I68" s="25">
        <f t="shared" si="21"/>
        <v>10.714285714285714</v>
      </c>
      <c r="J68" s="25">
        <f t="shared" si="21"/>
        <v>7</v>
      </c>
      <c r="K68" s="27">
        <f t="shared" si="21"/>
        <v>23.333333333333332</v>
      </c>
      <c r="L68" s="25">
        <f t="shared" si="21"/>
        <v>8.166666666666666</v>
      </c>
      <c r="M68" s="25">
        <f t="shared" si="21"/>
        <v>-2.8333333333333335</v>
      </c>
      <c r="N68" s="25">
        <f t="shared" si="21"/>
        <v>-1.8</v>
      </c>
      <c r="O68" s="25">
        <f t="shared" si="21"/>
        <v>4</v>
      </c>
      <c r="P68" s="25">
        <f t="shared" si="21"/>
        <v>1</v>
      </c>
    </row>
    <row r="69" spans="1:16" ht="11.25">
      <c r="A69" s="12" t="s">
        <v>62</v>
      </c>
      <c r="E69" s="19"/>
      <c r="F69" s="28"/>
      <c r="K69" s="34"/>
      <c r="L69" s="33"/>
      <c r="M69" s="33"/>
      <c r="N69" s="33"/>
      <c r="O69" s="23"/>
      <c r="P69" s="23"/>
    </row>
    <row r="70" spans="1:16" ht="11.25">
      <c r="A70" s="3" t="s">
        <v>63</v>
      </c>
      <c r="C70" s="35">
        <f aca="true" t="shared" si="22" ref="C70:I70">(C10/G10)-1</f>
        <v>0.16198174142099386</v>
      </c>
      <c r="D70" s="35">
        <f t="shared" si="22"/>
        <v>0.12057298880139289</v>
      </c>
      <c r="E70" s="35">
        <f t="shared" si="22"/>
        <v>0.19072694006872237</v>
      </c>
      <c r="F70" s="59">
        <f t="shared" si="22"/>
        <v>0.27328010398291713</v>
      </c>
      <c r="G70" s="54">
        <f t="shared" si="22"/>
        <v>0.1461598908143431</v>
      </c>
      <c r="H70" s="54">
        <f t="shared" si="22"/>
        <v>0.21717560928619584</v>
      </c>
      <c r="I70" s="54">
        <f t="shared" si="22"/>
        <v>0.15154162384378211</v>
      </c>
      <c r="J70" s="54">
        <f>+(J10/N10)-1</f>
        <v>0.1743989532791801</v>
      </c>
      <c r="K70" s="55">
        <f>+(K10/O10)-1</f>
        <v>0.6647617736160838</v>
      </c>
      <c r="L70" s="35">
        <f>+(L10/13585)-1</f>
        <v>0.5283032756716968</v>
      </c>
      <c r="M70" s="35">
        <f>+(M10/11137)-1</f>
        <v>0.7473287240729101</v>
      </c>
      <c r="N70" s="35">
        <f>+(N10/9904)-1</f>
        <v>0.8520799676898223</v>
      </c>
      <c r="O70" s="54">
        <f>+(O10/P10)-1</f>
        <v>1.0493862000846619</v>
      </c>
      <c r="P70" s="54">
        <f>(P10/5038)-1</f>
        <v>0.40670901151250494</v>
      </c>
    </row>
    <row r="71" spans="1:16" ht="11.25">
      <c r="A71" s="3" t="s">
        <v>64</v>
      </c>
      <c r="C71" s="35">
        <f aca="true" t="shared" si="23" ref="C71:I71">(C12/G12)-1</f>
        <v>-0.3477933210870896</v>
      </c>
      <c r="D71" s="35">
        <f t="shared" si="23"/>
        <v>0.1189815671043708</v>
      </c>
      <c r="E71" s="35">
        <f t="shared" si="23"/>
        <v>0.10460755424591484</v>
      </c>
      <c r="F71" s="59">
        <f t="shared" si="23"/>
        <v>0.12327787886664932</v>
      </c>
      <c r="G71" s="54">
        <f t="shared" si="23"/>
        <v>0.24310556824170027</v>
      </c>
      <c r="H71" s="54">
        <f t="shared" si="23"/>
        <v>-0.10849134377576253</v>
      </c>
      <c r="I71" s="54">
        <f t="shared" si="23"/>
        <v>-0.13752671402991967</v>
      </c>
      <c r="J71" s="54">
        <f aca="true" t="shared" si="24" ref="J71:P71">SUM(J72:J73)</f>
        <v>-0.0067772542438521155</v>
      </c>
      <c r="K71" s="55">
        <f t="shared" si="24"/>
        <v>0.326421248835042</v>
      </c>
      <c r="L71" s="35">
        <f t="shared" si="24"/>
        <v>0.488100106322074</v>
      </c>
      <c r="M71" s="35">
        <f t="shared" si="24"/>
        <v>0.6908877820099619</v>
      </c>
      <c r="N71" s="35">
        <f t="shared" si="24"/>
        <v>0.7225928396708916</v>
      </c>
      <c r="O71" s="54">
        <f t="shared" si="24"/>
        <v>1.0162856248042593</v>
      </c>
      <c r="P71" s="54">
        <f t="shared" si="24"/>
        <v>0.34442105263157896</v>
      </c>
    </row>
    <row r="72" spans="2:16" ht="11.25">
      <c r="B72" s="3" t="s">
        <v>15</v>
      </c>
      <c r="C72" s="35">
        <v>0</v>
      </c>
      <c r="D72" s="35">
        <v>0</v>
      </c>
      <c r="E72" s="35">
        <v>0</v>
      </c>
      <c r="F72" s="59">
        <v>0</v>
      </c>
      <c r="G72" s="54">
        <v>0</v>
      </c>
      <c r="H72" s="54">
        <v>0</v>
      </c>
      <c r="I72" s="54">
        <v>0</v>
      </c>
      <c r="J72" s="54">
        <v>0</v>
      </c>
      <c r="K72" s="55">
        <v>0</v>
      </c>
      <c r="L72" s="35">
        <v>0</v>
      </c>
      <c r="M72" s="35">
        <v>0</v>
      </c>
      <c r="N72" s="35">
        <v>0</v>
      </c>
      <c r="O72" s="54">
        <v>0</v>
      </c>
      <c r="P72" s="54">
        <v>0</v>
      </c>
    </row>
    <row r="73" spans="2:16" ht="11.25">
      <c r="B73" s="3" t="s">
        <v>16</v>
      </c>
      <c r="C73" s="35">
        <f aca="true" t="shared" si="25" ref="C73:I73">(C14/G14)-1</f>
        <v>-0.3477933210870896</v>
      </c>
      <c r="D73" s="35">
        <f t="shared" si="25"/>
        <v>0.1189815671043708</v>
      </c>
      <c r="E73" s="35">
        <f t="shared" si="25"/>
        <v>0.10460755424591484</v>
      </c>
      <c r="F73" s="59">
        <f t="shared" si="25"/>
        <v>0.12327787886664932</v>
      </c>
      <c r="G73" s="54">
        <f t="shared" si="25"/>
        <v>0.24310556824170027</v>
      </c>
      <c r="H73" s="54">
        <f t="shared" si="25"/>
        <v>-0.10849134377576253</v>
      </c>
      <c r="I73" s="54">
        <f t="shared" si="25"/>
        <v>-0.13752671402991967</v>
      </c>
      <c r="J73" s="54">
        <f>+(J14/N14)-1</f>
        <v>-0.0067772542438521155</v>
      </c>
      <c r="K73" s="55">
        <f>+(K14/O14)-1</f>
        <v>0.326421248835042</v>
      </c>
      <c r="L73" s="35">
        <f>+(L14/12227)-1</f>
        <v>0.488100106322074</v>
      </c>
      <c r="M73" s="35">
        <f>+(M14/10239)-1</f>
        <v>0.6908877820099619</v>
      </c>
      <c r="N73" s="35">
        <f>+(N14/8994)-1</f>
        <v>0.7225928396708916</v>
      </c>
      <c r="O73" s="54">
        <f>+(O14/P14)-1</f>
        <v>1.0162856248042593</v>
      </c>
      <c r="P73" s="54">
        <f>(P14/4750)-1</f>
        <v>0.34442105263157896</v>
      </c>
    </row>
    <row r="74" spans="1:16" ht="11.25">
      <c r="A74" s="3" t="s">
        <v>65</v>
      </c>
      <c r="C74" s="35">
        <f aca="true" t="shared" si="26" ref="C74:I74">(C16/G16)-1</f>
        <v>0.12682374643635752</v>
      </c>
      <c r="D74" s="35">
        <f t="shared" si="26"/>
        <v>0.1190454037960551</v>
      </c>
      <c r="E74" s="35">
        <f t="shared" si="26"/>
        <v>0.22020905923344958</v>
      </c>
      <c r="F74" s="59">
        <f t="shared" si="26"/>
        <v>0.3379663913414981</v>
      </c>
      <c r="G74" s="54">
        <f t="shared" si="26"/>
        <v>0.17892447607750106</v>
      </c>
      <c r="H74" s="54">
        <f t="shared" si="26"/>
        <v>0.26939884256525337</v>
      </c>
      <c r="I74" s="54">
        <f t="shared" si="26"/>
        <v>0.18730906313645623</v>
      </c>
      <c r="J74" s="54">
        <f aca="true" t="shared" si="27" ref="J74:P74">SUM(J75:J76)</f>
        <v>0.21219444828062417</v>
      </c>
      <c r="K74" s="55">
        <f t="shared" si="27"/>
        <v>0.8508828103558685</v>
      </c>
      <c r="L74" s="35">
        <f t="shared" si="27"/>
        <v>0.6804604545003474</v>
      </c>
      <c r="M74" s="35">
        <f t="shared" si="27"/>
        <v>1.0273548387096776</v>
      </c>
      <c r="N74" s="35">
        <f t="shared" si="27"/>
        <v>1.1972386587771204</v>
      </c>
      <c r="O74" s="54">
        <f t="shared" si="27"/>
        <v>1.8637673565627457</v>
      </c>
      <c r="P74" s="54">
        <f t="shared" si="27"/>
        <v>0</v>
      </c>
    </row>
    <row r="75" spans="2:16" ht="11.25">
      <c r="B75" s="3" t="s">
        <v>15</v>
      </c>
      <c r="C75" s="35">
        <v>0</v>
      </c>
      <c r="D75" s="35">
        <v>0</v>
      </c>
      <c r="E75" s="35">
        <v>0</v>
      </c>
      <c r="F75" s="59">
        <v>0</v>
      </c>
      <c r="G75" s="54">
        <v>0</v>
      </c>
      <c r="H75" s="54">
        <v>0</v>
      </c>
      <c r="I75" s="54">
        <v>0</v>
      </c>
      <c r="J75" s="54">
        <v>0</v>
      </c>
      <c r="K75" s="55">
        <v>0</v>
      </c>
      <c r="L75" s="35">
        <v>0</v>
      </c>
      <c r="M75" s="35">
        <v>0</v>
      </c>
      <c r="N75" s="35">
        <v>0</v>
      </c>
      <c r="O75" s="54">
        <v>0</v>
      </c>
      <c r="P75" s="54">
        <v>0</v>
      </c>
    </row>
    <row r="76" spans="2:16" ht="11.25">
      <c r="B76" s="3" t="s">
        <v>16</v>
      </c>
      <c r="C76" s="35">
        <f aca="true" t="shared" si="28" ref="C76:I76">(C21/G21)-1</f>
        <v>0.12682374643635752</v>
      </c>
      <c r="D76" s="35">
        <f t="shared" si="28"/>
        <v>0.1190454037960551</v>
      </c>
      <c r="E76" s="35">
        <f t="shared" si="28"/>
        <v>0.22020905923344958</v>
      </c>
      <c r="F76" s="59">
        <f t="shared" si="28"/>
        <v>0.3379663913414981</v>
      </c>
      <c r="G76" s="54">
        <f t="shared" si="28"/>
        <v>0.17892447607750106</v>
      </c>
      <c r="H76" s="54">
        <f t="shared" si="28"/>
        <v>0.26939884256525337</v>
      </c>
      <c r="I76" s="54">
        <f t="shared" si="28"/>
        <v>0.18730906313645623</v>
      </c>
      <c r="J76" s="54">
        <f>+(J21/N21)-1</f>
        <v>0.21219444828062417</v>
      </c>
      <c r="K76" s="55">
        <f>+(K21/O21)-1</f>
        <v>0.8508828103558685</v>
      </c>
      <c r="L76" s="35">
        <f>+(L21/10077)-1</f>
        <v>0.6804604545003474</v>
      </c>
      <c r="M76" s="35">
        <f>+(M21/7750)-1</f>
        <v>1.0273548387096776</v>
      </c>
      <c r="N76" s="35">
        <f>+(N21/6591)-1</f>
        <v>1.1972386587771204</v>
      </c>
      <c r="O76" s="54">
        <f>+(O21/P21)-1</f>
        <v>1.8637673565627457</v>
      </c>
      <c r="P76" s="54">
        <v>0</v>
      </c>
    </row>
    <row r="77" spans="1:16" ht="11.25">
      <c r="A77" s="3" t="s">
        <v>66</v>
      </c>
      <c r="C77" s="35">
        <f aca="true" t="shared" si="29" ref="C77:I77">(C25/G25)-1</f>
        <v>0.015550618851158271</v>
      </c>
      <c r="D77" s="35">
        <f t="shared" si="29"/>
        <v>0.02116903633491307</v>
      </c>
      <c r="E77" s="35">
        <f t="shared" si="29"/>
        <v>0.012291207059565101</v>
      </c>
      <c r="F77" s="59">
        <f t="shared" si="29"/>
        <v>0.01305316778096155</v>
      </c>
      <c r="G77" s="54">
        <f t="shared" si="29"/>
        <v>-0.0015842839036754874</v>
      </c>
      <c r="H77" s="54">
        <f t="shared" si="29"/>
        <v>0.03296344647519578</v>
      </c>
      <c r="I77" s="54">
        <f t="shared" si="29"/>
        <v>0.057666666666666755</v>
      </c>
      <c r="J77" s="35">
        <f>+(J25/N25)-1</f>
        <v>0.04386839481555338</v>
      </c>
      <c r="K77" s="55">
        <f>+(K25/O25)-1</f>
        <v>0.045725646123260466</v>
      </c>
      <c r="L77" s="35">
        <f>+(L25/2988)-1</f>
        <v>0.025435073627844806</v>
      </c>
      <c r="M77" s="35">
        <f>+(M25/2974)-1</f>
        <v>0.008742434431741719</v>
      </c>
      <c r="N77" s="35">
        <f>+(N25/2987)-1</f>
        <v>0.007365249414127861</v>
      </c>
      <c r="O77" s="35">
        <f>+(O25/P25)-1</f>
        <v>0.003992015968063978</v>
      </c>
      <c r="P77" s="35">
        <f>(P25/3000)-1</f>
        <v>0.0020000000000000018</v>
      </c>
    </row>
    <row r="78" spans="1:16" ht="11.25">
      <c r="A78" s="4" t="s">
        <v>67</v>
      </c>
      <c r="B78" s="4"/>
      <c r="C78" s="36">
        <f aca="true" t="shared" si="30" ref="C78:I78">(C40/G40)-1</f>
        <v>-0.09433962264150941</v>
      </c>
      <c r="D78" s="36">
        <f t="shared" si="30"/>
        <v>0.21212121212121215</v>
      </c>
      <c r="E78" s="36">
        <f t="shared" si="30"/>
        <v>-0.18666666666666665</v>
      </c>
      <c r="F78" s="61">
        <f t="shared" si="30"/>
        <v>-0.2857142857142857</v>
      </c>
      <c r="G78" s="36">
        <f t="shared" si="30"/>
        <v>-0.6214285714285714</v>
      </c>
      <c r="H78" s="36">
        <f t="shared" si="30"/>
        <v>0.346938775510204</v>
      </c>
      <c r="I78" s="36">
        <f t="shared" si="30"/>
        <v>-5.411764705882353</v>
      </c>
      <c r="J78" s="36">
        <f>+(J40/N40)-1</f>
        <v>-5.666666666666667</v>
      </c>
      <c r="K78" s="58">
        <f>+(K40/O40)-1</f>
        <v>10.666666666666666</v>
      </c>
      <c r="L78" s="36">
        <f>+(L40/18)-1</f>
        <v>1.7222222222222223</v>
      </c>
      <c r="M78" s="36">
        <f>+(M40/32)-1</f>
        <v>-1.53125</v>
      </c>
      <c r="N78" s="36">
        <f>+(N40/19)-1</f>
        <v>-1.4736842105263157</v>
      </c>
      <c r="O78" s="36">
        <f>+(O40/P40)-1</f>
        <v>1</v>
      </c>
      <c r="P78" s="36">
        <v>0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2017-06-16T17:24:55Z</dcterms:created>
  <dcterms:modified xsi:type="dcterms:W3CDTF">2017-06-16T17:24:58Z</dcterms:modified>
  <cp:category/>
  <cp:version/>
  <cp:contentType/>
  <cp:contentStatus/>
</cp:coreProperties>
</file>