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Interbank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<sst xmlns="http://schemas.openxmlformats.org/spreadsheetml/2006/main" count="89" uniqueCount="69">
  <si>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CUADRO No. 19-1</t>
  </si>
  <si>
    <t>INTERBANK OVERSEAS</t>
  </si>
  <si>
    <t xml:space="preserve">ESTADISTICA FINANCIERA.  TRIMESTRES  2000, 2001 Y 2002 </t>
  </si>
  <si>
    <t>(En miles de balboas)</t>
  </si>
  <si>
    <t>Años</t>
  </si>
  <si>
    <t xml:space="preserve">Diciembre </t>
  </si>
  <si>
    <t>Septiembre</t>
  </si>
  <si>
    <t>Junio</t>
  </si>
  <si>
    <t>Marzo</t>
  </si>
  <si>
    <t>Diciembre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</si>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</sst>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9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0" fontId="2" fillId="0" borderId="0" xfId="52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01" fontId="4" fillId="0" borderId="0" xfId="46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201" fontId="3" fillId="0" borderId="11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201" fontId="3" fillId="0" borderId="16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4" fillId="0" borderId="0" xfId="46" applyNumberFormat="1" applyFont="1" applyAlignment="1">
      <alignment/>
    </xf>
    <xf numFmtId="201" fontId="4" fillId="0" borderId="15" xfId="46" applyNumberFormat="1" applyFont="1" applyBorder="1" applyAlignment="1">
      <alignment/>
    </xf>
    <xf numFmtId="201" fontId="4" fillId="0" borderId="17" xfId="46" applyNumberFormat="1" applyFont="1" applyBorder="1" applyAlignment="1">
      <alignment/>
    </xf>
    <xf numFmtId="43" fontId="4" fillId="0" borderId="15" xfId="46" applyFont="1" applyBorder="1" applyAlignment="1">
      <alignment/>
    </xf>
    <xf numFmtId="43" fontId="4" fillId="0" borderId="0" xfId="46" applyFont="1" applyAlignment="1">
      <alignment/>
    </xf>
    <xf numFmtId="43" fontId="4" fillId="0" borderId="0" xfId="46" applyFont="1" applyBorder="1" applyAlignment="1">
      <alignment/>
    </xf>
    <xf numFmtId="201" fontId="4" fillId="0" borderId="10" xfId="46" applyNumberFormat="1" applyFont="1" applyBorder="1" applyAlignment="1">
      <alignment/>
    </xf>
    <xf numFmtId="201" fontId="4" fillId="0" borderId="18" xfId="46" applyNumberFormat="1" applyFont="1" applyBorder="1" applyAlignment="1">
      <alignment/>
    </xf>
    <xf numFmtId="201" fontId="4" fillId="0" borderId="19" xfId="46" applyNumberFormat="1" applyFont="1" applyBorder="1" applyAlignment="1">
      <alignment/>
    </xf>
    <xf numFmtId="0" fontId="4" fillId="0" borderId="15" xfId="0" applyFont="1" applyBorder="1" applyAlignment="1">
      <alignment/>
    </xf>
    <xf numFmtId="201" fontId="4" fillId="0" borderId="11" xfId="46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3" fontId="4" fillId="0" borderId="17" xfId="46" applyFont="1" applyBorder="1" applyAlignment="1">
      <alignment/>
    </xf>
    <xf numFmtId="43" fontId="4" fillId="0" borderId="18" xfId="46" applyFont="1" applyBorder="1" applyAlignment="1">
      <alignment/>
    </xf>
    <xf numFmtId="43" fontId="4" fillId="0" borderId="19" xfId="46" applyFont="1" applyBorder="1" applyAlignment="1">
      <alignment/>
    </xf>
    <xf numFmtId="43" fontId="4" fillId="0" borderId="10" xfId="46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0" xfId="52" applyNumberFormat="1" applyFont="1" applyBorder="1" applyAlignment="1">
      <alignment/>
    </xf>
    <xf numFmtId="10" fontId="4" fillId="0" borderId="15" xfId="52" applyNumberFormat="1" applyFont="1" applyBorder="1" applyAlignment="1">
      <alignment/>
    </xf>
    <xf numFmtId="10" fontId="4" fillId="0" borderId="17" xfId="52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10" fontId="4" fillId="0" borderId="18" xfId="52" applyNumberFormat="1" applyFont="1" applyBorder="1" applyAlignment="1">
      <alignment/>
    </xf>
    <xf numFmtId="10" fontId="4" fillId="0" borderId="19" xfId="52" applyNumberFormat="1" applyFont="1" applyBorder="1" applyAlignment="1">
      <alignment/>
    </xf>
    <xf numFmtId="10" fontId="4" fillId="0" borderId="0" xfId="52" applyNumberFormat="1" applyFont="1" applyAlignment="1">
      <alignment/>
    </xf>
    <xf numFmtId="10" fontId="4" fillId="0" borderId="0" xfId="52" applyNumberFormat="1" applyFont="1" applyFill="1" applyBorder="1" applyAlignment="1">
      <alignment/>
    </xf>
    <xf numFmtId="2" fontId="4" fillId="0" borderId="0" xfId="52" applyNumberFormat="1" applyFont="1" applyBorder="1" applyAlignment="1">
      <alignment/>
    </xf>
    <xf numFmtId="10" fontId="4" fillId="0" borderId="17" xfId="52" applyNumberFormat="1" applyFont="1" applyFill="1" applyBorder="1" applyAlignment="1">
      <alignment/>
    </xf>
    <xf numFmtId="10" fontId="4" fillId="0" borderId="10" xfId="52" applyNumberFormat="1" applyFont="1" applyFill="1" applyBorder="1" applyAlignment="1">
      <alignment/>
    </xf>
    <xf numFmtId="10" fontId="4" fillId="0" borderId="19" xfId="52" applyNumberFormat="1" applyFont="1" applyFill="1" applyBorder="1" applyAlignment="1">
      <alignment/>
    </xf>
    <xf numFmtId="201" fontId="4" fillId="0" borderId="0" xfId="46" applyNumberFormat="1" applyFont="1" applyFill="1" applyBorder="1" applyAlignment="1">
      <alignment/>
    </xf>
    <xf numFmtId="201" fontId="4" fillId="0" borderId="0" xfId="46" applyNumberFormat="1" applyFont="1" applyFill="1" applyAlignment="1">
      <alignment/>
    </xf>
    <xf numFmtId="2" fontId="4" fillId="0" borderId="0" xfId="0" applyNumberFormat="1" applyFont="1" applyBorder="1" applyAlignment="1">
      <alignment/>
    </xf>
    <xf numFmtId="10" fontId="4" fillId="0" borderId="15" xfId="5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11.421875" defaultRowHeight="12.75"/>
  <cols>
    <col min="1" max="1" width="3.57421875" style="5" customWidth="1"/>
    <col min="2" max="2" width="31.00390625" style="5" customWidth="1"/>
    <col min="3" max="3" width="7.28125" style="5" bestFit="1" customWidth="1"/>
    <col min="4" max="4" width="8.421875" style="5" customWidth="1"/>
    <col min="5" max="5" width="7.8515625" style="23" customWidth="1"/>
    <col min="6" max="6" width="8.00390625" style="5" customWidth="1"/>
    <col min="7" max="7" width="7.00390625" style="5" bestFit="1" customWidth="1"/>
    <col min="8" max="8" width="8.57421875" style="5" customWidth="1"/>
    <col min="9" max="9" width="7.7109375" style="5" customWidth="1"/>
    <col min="10" max="10" width="7.421875" style="5" customWidth="1"/>
    <col min="11" max="11" width="7.57421875" style="5" customWidth="1"/>
    <col min="12" max="12" width="8.7109375" style="5" customWidth="1"/>
    <col min="13" max="13" width="7.28125" style="5" customWidth="1"/>
    <col min="14" max="14" width="7.8515625" style="5" customWidth="1"/>
    <col min="15" max="15" width="6.7109375" style="5" hidden="1" customWidth="1"/>
    <col min="16" max="16" width="0.13671875" style="5" hidden="1" customWidth="1"/>
    <col min="17" max="19" width="11.421875" style="5" customWidth="1"/>
    <col min="20" max="16384" width="11.421875" style="1" customWidth="1"/>
  </cols>
  <sheetData>
    <row r="1" spans="2:16" ht="11.25">
      <c r="B1" s="59"/>
      <c r="C1" s="59"/>
      <c r="D1" s="59"/>
      <c r="E1" s="59"/>
      <c r="F1" s="59"/>
      <c r="G1" s="59" t="s">
        <v>0</v>
      </c>
      <c r="H1" s="59"/>
      <c r="I1" s="59"/>
      <c r="J1" s="59"/>
      <c r="K1" s="59"/>
      <c r="L1" s="59"/>
      <c r="M1" s="59"/>
      <c r="N1" s="59"/>
      <c r="O1" s="59"/>
      <c r="P1" s="59"/>
    </row>
    <row r="2" spans="2:16" ht="11.25">
      <c r="B2" s="59"/>
      <c r="C2" s="59"/>
      <c r="D2" s="59"/>
      <c r="E2" s="59"/>
      <c r="F2" s="59"/>
      <c r="G2" s="59" t="s">
        <v>1</v>
      </c>
      <c r="H2" s="59"/>
      <c r="I2" s="59"/>
      <c r="J2" s="59"/>
      <c r="K2" s="59"/>
      <c r="L2" s="59"/>
      <c r="M2" s="59"/>
      <c r="N2" s="59"/>
      <c r="O2" s="59"/>
      <c r="P2" s="59"/>
    </row>
    <row r="3" spans="2:16" ht="11.25">
      <c r="B3" s="59"/>
      <c r="C3" s="59"/>
      <c r="D3" s="59"/>
      <c r="E3" s="59"/>
      <c r="F3" s="59"/>
      <c r="G3" s="59" t="s">
        <v>2</v>
      </c>
      <c r="H3" s="59"/>
      <c r="I3" s="59"/>
      <c r="J3" s="59"/>
      <c r="K3" s="59"/>
      <c r="L3" s="59"/>
      <c r="M3" s="59"/>
      <c r="N3" s="59"/>
      <c r="O3" s="59"/>
      <c r="P3" s="59"/>
    </row>
    <row r="4" spans="1:16" ht="11.25">
      <c r="A4" s="1"/>
      <c r="B4" s="58"/>
      <c r="C4" s="58"/>
      <c r="D4" s="58"/>
      <c r="E4" s="58"/>
      <c r="F4" s="58"/>
      <c r="G4" s="58" t="s">
        <v>3</v>
      </c>
      <c r="H4" s="58"/>
      <c r="I4" s="58"/>
      <c r="J4" s="58"/>
      <c r="K4" s="58"/>
      <c r="L4" s="58"/>
      <c r="M4" s="58"/>
      <c r="N4" s="58"/>
      <c r="O4" s="58"/>
      <c r="P4" s="58"/>
    </row>
    <row r="5" spans="1:16" ht="11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1.25">
      <c r="A6" s="6"/>
      <c r="B6" s="6"/>
      <c r="C6" s="7"/>
      <c r="D6" s="7"/>
      <c r="E6" s="8"/>
      <c r="F6" s="7"/>
      <c r="G6" s="6"/>
      <c r="H6" s="6"/>
      <c r="I6" s="6"/>
      <c r="J6" s="6"/>
      <c r="K6" s="7"/>
      <c r="L6" s="7"/>
      <c r="M6" s="7"/>
      <c r="N6" s="7"/>
      <c r="O6" s="6"/>
      <c r="P6" s="6"/>
    </row>
    <row r="7" spans="1:16" ht="12.75" customHeight="1">
      <c r="A7" s="9"/>
      <c r="B7" s="9"/>
      <c r="C7" s="62">
        <v>2002</v>
      </c>
      <c r="D7" s="62"/>
      <c r="E7" s="62"/>
      <c r="F7" s="63"/>
      <c r="G7" s="62">
        <v>2001</v>
      </c>
      <c r="H7" s="62"/>
      <c r="I7" s="62"/>
      <c r="J7" s="62"/>
      <c r="K7" s="60">
        <v>2000</v>
      </c>
      <c r="L7" s="61"/>
      <c r="M7" s="61"/>
      <c r="N7" s="61"/>
      <c r="O7" s="62" t="s">
        <v>4</v>
      </c>
      <c r="P7" s="62"/>
    </row>
    <row r="8" spans="1:16" ht="11.25">
      <c r="A8" s="10"/>
      <c r="B8" s="10"/>
      <c r="C8" s="11" t="s">
        <v>5</v>
      </c>
      <c r="D8" s="11" t="s">
        <v>6</v>
      </c>
      <c r="E8" s="11" t="s">
        <v>7</v>
      </c>
      <c r="F8" s="12" t="s">
        <v>8</v>
      </c>
      <c r="G8" s="11" t="s">
        <v>9</v>
      </c>
      <c r="H8" s="11" t="s">
        <v>6</v>
      </c>
      <c r="I8" s="10" t="s">
        <v>7</v>
      </c>
      <c r="J8" s="10" t="s">
        <v>8</v>
      </c>
      <c r="K8" s="13" t="s">
        <v>9</v>
      </c>
      <c r="L8" s="11" t="s">
        <v>6</v>
      </c>
      <c r="M8" s="11" t="s">
        <v>7</v>
      </c>
      <c r="N8" s="11" t="s">
        <v>8</v>
      </c>
      <c r="O8" s="14" t="s">
        <v>10</v>
      </c>
      <c r="P8" s="14" t="s">
        <v>11</v>
      </c>
    </row>
    <row r="9" spans="1:16" ht="11.25">
      <c r="A9" s="15" t="s">
        <v>12</v>
      </c>
      <c r="B9" s="15"/>
      <c r="C9" s="15"/>
      <c r="D9" s="15"/>
      <c r="E9" s="16"/>
      <c r="F9" s="17"/>
      <c r="G9" s="15"/>
      <c r="H9" s="15"/>
      <c r="I9" s="18"/>
      <c r="J9" s="19"/>
      <c r="K9" s="20"/>
      <c r="L9" s="21"/>
      <c r="M9" s="21"/>
      <c r="N9" s="21"/>
      <c r="O9" s="22"/>
      <c r="P9" s="22"/>
    </row>
    <row r="10" spans="1:16" ht="11.25">
      <c r="A10" s="5" t="s">
        <v>13</v>
      </c>
      <c r="C10" s="23">
        <v>17983</v>
      </c>
      <c r="D10" s="23">
        <v>16564</v>
      </c>
      <c r="E10" s="8">
        <v>16441</v>
      </c>
      <c r="F10" s="24">
        <v>16278</v>
      </c>
      <c r="G10" s="23">
        <v>11947</v>
      </c>
      <c r="H10" s="8">
        <v>14908</v>
      </c>
      <c r="I10" s="8">
        <v>17103</v>
      </c>
      <c r="J10" s="24">
        <v>21193</v>
      </c>
      <c r="K10" s="25">
        <v>20917</v>
      </c>
      <c r="L10" s="8">
        <v>21191</v>
      </c>
      <c r="M10" s="8">
        <v>78951</v>
      </c>
      <c r="N10" s="8">
        <v>79666</v>
      </c>
      <c r="O10" s="23">
        <v>78737</v>
      </c>
      <c r="P10" s="23">
        <v>77632</v>
      </c>
    </row>
    <row r="11" spans="1:16" ht="11.25">
      <c r="A11" s="5" t="s">
        <v>14</v>
      </c>
      <c r="C11" s="23">
        <v>29</v>
      </c>
      <c r="D11" s="23">
        <v>40</v>
      </c>
      <c r="E11" s="8">
        <v>26</v>
      </c>
      <c r="F11" s="24">
        <v>64</v>
      </c>
      <c r="G11" s="5">
        <v>320</v>
      </c>
      <c r="H11" s="8">
        <v>108</v>
      </c>
      <c r="I11" s="8">
        <v>16340</v>
      </c>
      <c r="J11" s="24">
        <v>20021</v>
      </c>
      <c r="K11" s="25">
        <v>20045</v>
      </c>
      <c r="L11" s="8">
        <v>20016</v>
      </c>
      <c r="M11" s="8">
        <v>20041</v>
      </c>
      <c r="N11" s="8">
        <v>19709</v>
      </c>
      <c r="O11" s="23">
        <v>19267</v>
      </c>
      <c r="P11" s="23">
        <v>18542</v>
      </c>
    </row>
    <row r="12" spans="1:16" ht="11.25">
      <c r="A12" s="5" t="s">
        <v>15</v>
      </c>
      <c r="C12" s="8">
        <f aca="true" t="shared" si="0" ref="C12:P12">C13+C14</f>
        <v>17037</v>
      </c>
      <c r="D12" s="8">
        <f t="shared" si="0"/>
        <v>15494</v>
      </c>
      <c r="E12" s="8">
        <f t="shared" si="0"/>
        <v>15563</v>
      </c>
      <c r="F12" s="24">
        <f t="shared" si="0"/>
        <v>15337</v>
      </c>
      <c r="G12" s="8">
        <f t="shared" si="0"/>
        <v>10719</v>
      </c>
      <c r="H12" s="8">
        <f t="shared" si="0"/>
        <v>13612</v>
      </c>
      <c r="I12" s="8">
        <f t="shared" si="0"/>
        <v>0</v>
      </c>
      <c r="J12" s="24">
        <f t="shared" si="0"/>
        <v>0</v>
      </c>
      <c r="K12" s="25">
        <f t="shared" si="0"/>
        <v>0</v>
      </c>
      <c r="L12" s="8">
        <f t="shared" si="0"/>
        <v>0</v>
      </c>
      <c r="M12" s="8">
        <f t="shared" si="0"/>
        <v>55328</v>
      </c>
      <c r="N12" s="8">
        <f t="shared" si="0"/>
        <v>57279</v>
      </c>
      <c r="O12" s="23">
        <f t="shared" si="0"/>
        <v>56643</v>
      </c>
      <c r="P12" s="23">
        <f t="shared" si="0"/>
        <v>57140</v>
      </c>
    </row>
    <row r="13" spans="2:16" ht="11.25">
      <c r="B13" s="5" t="s">
        <v>16</v>
      </c>
      <c r="C13" s="8">
        <v>0</v>
      </c>
      <c r="D13" s="8">
        <v>0</v>
      </c>
      <c r="E13" s="8">
        <v>0</v>
      </c>
      <c r="F13" s="26">
        <v>0</v>
      </c>
      <c r="G13" s="27">
        <v>0</v>
      </c>
      <c r="H13" s="8">
        <v>0</v>
      </c>
      <c r="I13" s="8">
        <v>0</v>
      </c>
      <c r="J13" s="24">
        <v>0</v>
      </c>
      <c r="K13" s="25">
        <v>0</v>
      </c>
      <c r="L13" s="8">
        <v>0</v>
      </c>
      <c r="M13" s="8">
        <v>0</v>
      </c>
      <c r="N13" s="8">
        <v>0</v>
      </c>
      <c r="O13" s="23">
        <v>0</v>
      </c>
      <c r="P13" s="23">
        <v>0</v>
      </c>
    </row>
    <row r="14" spans="2:16" ht="11.25">
      <c r="B14" s="5" t="s">
        <v>17</v>
      </c>
      <c r="C14" s="23">
        <v>17037</v>
      </c>
      <c r="D14" s="23">
        <v>15494</v>
      </c>
      <c r="E14" s="8">
        <v>15563</v>
      </c>
      <c r="F14" s="24">
        <v>15337</v>
      </c>
      <c r="G14" s="23">
        <v>10719</v>
      </c>
      <c r="H14" s="8">
        <v>13612</v>
      </c>
      <c r="I14" s="8">
        <v>0</v>
      </c>
      <c r="J14" s="24">
        <v>0</v>
      </c>
      <c r="K14" s="25">
        <v>0</v>
      </c>
      <c r="L14" s="8">
        <v>0</v>
      </c>
      <c r="M14" s="8">
        <v>55328</v>
      </c>
      <c r="N14" s="8">
        <v>57279</v>
      </c>
      <c r="O14" s="23">
        <v>56643</v>
      </c>
      <c r="P14" s="23">
        <v>57140</v>
      </c>
    </row>
    <row r="15" spans="1:16" ht="11.25">
      <c r="A15" s="5" t="s">
        <v>18</v>
      </c>
      <c r="C15" s="8">
        <v>0</v>
      </c>
      <c r="D15" s="8">
        <v>0</v>
      </c>
      <c r="E15" s="28">
        <v>0</v>
      </c>
      <c r="F15" s="26">
        <v>0</v>
      </c>
      <c r="G15" s="28">
        <v>0</v>
      </c>
      <c r="H15" s="8">
        <v>0</v>
      </c>
      <c r="I15" s="8">
        <v>0</v>
      </c>
      <c r="J15" s="24">
        <v>0</v>
      </c>
      <c r="K15" s="25">
        <v>0</v>
      </c>
      <c r="L15" s="8">
        <v>0</v>
      </c>
      <c r="M15" s="8">
        <v>0</v>
      </c>
      <c r="N15" s="8">
        <v>0</v>
      </c>
      <c r="O15" s="23">
        <v>0</v>
      </c>
      <c r="P15" s="23">
        <v>0</v>
      </c>
    </row>
    <row r="16" spans="1:16" ht="11.25">
      <c r="A16" s="5" t="s">
        <v>19</v>
      </c>
      <c r="C16" s="8">
        <f aca="true" t="shared" si="1" ref="C16:P16">C17+C21</f>
        <v>14083</v>
      </c>
      <c r="D16" s="8">
        <f t="shared" si="1"/>
        <v>12736</v>
      </c>
      <c r="E16" s="8">
        <f t="shared" si="1"/>
        <v>12676</v>
      </c>
      <c r="F16" s="24">
        <f t="shared" si="1"/>
        <v>12591</v>
      </c>
      <c r="G16" s="8">
        <f t="shared" si="1"/>
        <v>8214</v>
      </c>
      <c r="H16" s="8">
        <f t="shared" si="1"/>
        <v>11206</v>
      </c>
      <c r="I16" s="8">
        <f t="shared" si="1"/>
        <v>13497</v>
      </c>
      <c r="J16" s="24">
        <f t="shared" si="1"/>
        <v>18105</v>
      </c>
      <c r="K16" s="25">
        <f t="shared" si="1"/>
        <v>16573</v>
      </c>
      <c r="L16" s="8">
        <f t="shared" si="1"/>
        <v>16797</v>
      </c>
      <c r="M16" s="8">
        <f t="shared" si="1"/>
        <v>71871</v>
      </c>
      <c r="N16" s="8">
        <f t="shared" si="1"/>
        <v>74506</v>
      </c>
      <c r="O16" s="23">
        <f t="shared" si="1"/>
        <v>67846</v>
      </c>
      <c r="P16" s="23">
        <f t="shared" si="1"/>
        <v>71171</v>
      </c>
    </row>
    <row r="17" spans="2:16" ht="11.25">
      <c r="B17" s="5" t="s">
        <v>16</v>
      </c>
      <c r="C17" s="8">
        <f aca="true" t="shared" si="2" ref="C17:P17">SUM(C18:C20)</f>
        <v>0</v>
      </c>
      <c r="D17" s="8">
        <f t="shared" si="2"/>
        <v>0</v>
      </c>
      <c r="E17" s="8">
        <f t="shared" si="2"/>
        <v>0</v>
      </c>
      <c r="F17" s="24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24">
        <f t="shared" si="2"/>
        <v>0</v>
      </c>
      <c r="K17" s="25">
        <f t="shared" si="2"/>
        <v>0</v>
      </c>
      <c r="L17" s="8">
        <f t="shared" si="2"/>
        <v>0</v>
      </c>
      <c r="M17" s="8">
        <f t="shared" si="2"/>
        <v>0</v>
      </c>
      <c r="N17" s="8">
        <f t="shared" si="2"/>
        <v>0</v>
      </c>
      <c r="O17" s="23">
        <f t="shared" si="2"/>
        <v>0</v>
      </c>
      <c r="P17" s="23">
        <f t="shared" si="2"/>
        <v>0</v>
      </c>
    </row>
    <row r="18" spans="2:16" ht="11.25">
      <c r="B18" s="5" t="s">
        <v>20</v>
      </c>
      <c r="C18" s="8">
        <v>0</v>
      </c>
      <c r="D18" s="8">
        <v>0</v>
      </c>
      <c r="E18" s="8">
        <v>0</v>
      </c>
      <c r="F18" s="24">
        <v>0</v>
      </c>
      <c r="G18" s="8">
        <v>0</v>
      </c>
      <c r="H18" s="8">
        <v>0</v>
      </c>
      <c r="I18" s="8">
        <v>0</v>
      </c>
      <c r="J18" s="24">
        <v>0</v>
      </c>
      <c r="K18" s="25">
        <v>0</v>
      </c>
      <c r="L18" s="8">
        <v>0</v>
      </c>
      <c r="M18" s="8">
        <v>0</v>
      </c>
      <c r="N18" s="8">
        <v>0</v>
      </c>
      <c r="O18" s="23">
        <v>0</v>
      </c>
      <c r="P18" s="23">
        <v>0</v>
      </c>
    </row>
    <row r="19" spans="2:16" ht="11.25">
      <c r="B19" s="5" t="s">
        <v>21</v>
      </c>
      <c r="C19" s="8">
        <v>0</v>
      </c>
      <c r="D19" s="8">
        <v>0</v>
      </c>
      <c r="E19" s="8">
        <v>0</v>
      </c>
      <c r="F19" s="24">
        <v>0</v>
      </c>
      <c r="G19" s="8">
        <v>0</v>
      </c>
      <c r="H19" s="8">
        <v>0</v>
      </c>
      <c r="I19" s="8">
        <v>0</v>
      </c>
      <c r="J19" s="24">
        <v>0</v>
      </c>
      <c r="K19" s="25">
        <v>0</v>
      </c>
      <c r="L19" s="8">
        <v>0</v>
      </c>
      <c r="M19" s="8">
        <v>0</v>
      </c>
      <c r="N19" s="8">
        <v>0</v>
      </c>
      <c r="O19" s="23">
        <v>0</v>
      </c>
      <c r="P19" s="23">
        <v>0</v>
      </c>
    </row>
    <row r="20" spans="2:16" ht="11.25">
      <c r="B20" s="5" t="s">
        <v>22</v>
      </c>
      <c r="C20" s="8">
        <v>0</v>
      </c>
      <c r="D20" s="8">
        <v>0</v>
      </c>
      <c r="E20" s="8">
        <v>0</v>
      </c>
      <c r="F20" s="24">
        <v>0</v>
      </c>
      <c r="G20" s="8">
        <v>0</v>
      </c>
      <c r="H20" s="8">
        <v>0</v>
      </c>
      <c r="I20" s="8">
        <v>0</v>
      </c>
      <c r="J20" s="24">
        <v>0</v>
      </c>
      <c r="K20" s="25">
        <v>0</v>
      </c>
      <c r="L20" s="8">
        <v>0</v>
      </c>
      <c r="M20" s="8">
        <v>0</v>
      </c>
      <c r="N20" s="8">
        <v>0</v>
      </c>
      <c r="O20" s="23">
        <v>0</v>
      </c>
      <c r="P20" s="23">
        <v>0</v>
      </c>
    </row>
    <row r="21" spans="2:16" ht="11.25">
      <c r="B21" s="5" t="s">
        <v>17</v>
      </c>
      <c r="C21" s="8">
        <f aca="true" t="shared" si="3" ref="C21:P21">SUM(C23:C24)</f>
        <v>14083</v>
      </c>
      <c r="D21" s="8">
        <f t="shared" si="3"/>
        <v>12736</v>
      </c>
      <c r="E21" s="8">
        <f t="shared" si="3"/>
        <v>12676</v>
      </c>
      <c r="F21" s="24">
        <f t="shared" si="3"/>
        <v>12591</v>
      </c>
      <c r="G21" s="8">
        <f t="shared" si="3"/>
        <v>8214</v>
      </c>
      <c r="H21" s="8">
        <f t="shared" si="3"/>
        <v>11206</v>
      </c>
      <c r="I21" s="8">
        <f t="shared" si="3"/>
        <v>13497</v>
      </c>
      <c r="J21" s="24">
        <f t="shared" si="3"/>
        <v>18105</v>
      </c>
      <c r="K21" s="25">
        <f t="shared" si="3"/>
        <v>16573</v>
      </c>
      <c r="L21" s="8">
        <f t="shared" si="3"/>
        <v>16797</v>
      </c>
      <c r="M21" s="8">
        <f t="shared" si="3"/>
        <v>71871</v>
      </c>
      <c r="N21" s="8">
        <f t="shared" si="3"/>
        <v>74506</v>
      </c>
      <c r="O21" s="23">
        <f t="shared" si="3"/>
        <v>67846</v>
      </c>
      <c r="P21" s="23">
        <f t="shared" si="3"/>
        <v>71171</v>
      </c>
    </row>
    <row r="22" spans="2:16" ht="11.25">
      <c r="B22" s="5" t="s">
        <v>20</v>
      </c>
      <c r="C22" s="8"/>
      <c r="D22" s="8"/>
      <c r="E22" s="8"/>
      <c r="F22" s="24"/>
      <c r="G22" s="8"/>
      <c r="H22" s="8"/>
      <c r="I22" s="8"/>
      <c r="J22" s="24"/>
      <c r="K22" s="25"/>
      <c r="L22" s="8"/>
      <c r="M22" s="8"/>
      <c r="N22" s="8"/>
      <c r="O22" s="23"/>
      <c r="P22" s="23"/>
    </row>
    <row r="23" spans="2:16" ht="11.25">
      <c r="B23" s="5" t="s">
        <v>21</v>
      </c>
      <c r="C23" s="8">
        <v>0</v>
      </c>
      <c r="D23" s="8">
        <v>0</v>
      </c>
      <c r="E23" s="8">
        <v>0</v>
      </c>
      <c r="F23" s="24">
        <v>0</v>
      </c>
      <c r="G23" s="8">
        <v>0</v>
      </c>
      <c r="H23" s="8">
        <v>0</v>
      </c>
      <c r="I23" s="8">
        <v>0</v>
      </c>
      <c r="J23" s="24">
        <v>0</v>
      </c>
      <c r="K23" s="25">
        <v>0</v>
      </c>
      <c r="L23" s="8">
        <v>0</v>
      </c>
      <c r="M23" s="8">
        <v>0</v>
      </c>
      <c r="N23" s="8">
        <v>0</v>
      </c>
      <c r="O23" s="23">
        <v>0</v>
      </c>
      <c r="P23" s="23">
        <v>0</v>
      </c>
    </row>
    <row r="24" spans="2:16" ht="11.25">
      <c r="B24" s="5" t="s">
        <v>22</v>
      </c>
      <c r="C24" s="23">
        <v>14083</v>
      </c>
      <c r="D24" s="23">
        <v>12736</v>
      </c>
      <c r="E24" s="8">
        <v>12676</v>
      </c>
      <c r="F24" s="24">
        <v>12591</v>
      </c>
      <c r="G24" s="23">
        <v>8214</v>
      </c>
      <c r="H24" s="8">
        <v>11206</v>
      </c>
      <c r="I24" s="8">
        <v>13497</v>
      </c>
      <c r="J24" s="24">
        <v>18105</v>
      </c>
      <c r="K24" s="25">
        <v>16573</v>
      </c>
      <c r="L24" s="8">
        <v>16797</v>
      </c>
      <c r="M24" s="8">
        <v>71871</v>
      </c>
      <c r="N24" s="8">
        <v>74506</v>
      </c>
      <c r="O24" s="23">
        <v>67846</v>
      </c>
      <c r="P24" s="23">
        <v>71171</v>
      </c>
    </row>
    <row r="25" spans="1:16" ht="11.25">
      <c r="A25" s="6" t="s">
        <v>23</v>
      </c>
      <c r="B25" s="6"/>
      <c r="C25" s="29">
        <v>3159</v>
      </c>
      <c r="D25" s="29">
        <v>3103</v>
      </c>
      <c r="E25" s="29">
        <v>3046</v>
      </c>
      <c r="F25" s="30">
        <v>3004</v>
      </c>
      <c r="G25" s="29">
        <v>3087</v>
      </c>
      <c r="H25" s="29">
        <v>3035</v>
      </c>
      <c r="I25" s="29">
        <v>2956</v>
      </c>
      <c r="J25" s="30">
        <v>2943</v>
      </c>
      <c r="K25" s="31">
        <v>4214</v>
      </c>
      <c r="L25" s="29">
        <v>4273</v>
      </c>
      <c r="M25" s="29">
        <v>6963</v>
      </c>
      <c r="N25" s="29">
        <v>5050</v>
      </c>
      <c r="O25" s="29">
        <v>10795</v>
      </c>
      <c r="P25" s="29">
        <v>6389</v>
      </c>
    </row>
    <row r="26" spans="1:16" ht="11.25">
      <c r="A26" s="15" t="s">
        <v>24</v>
      </c>
      <c r="D26" s="23"/>
      <c r="E26" s="8"/>
      <c r="F26" s="32"/>
      <c r="I26" s="7"/>
      <c r="J26" s="24"/>
      <c r="K26" s="25"/>
      <c r="L26" s="8"/>
      <c r="M26" s="8"/>
      <c r="N26" s="8"/>
      <c r="O26" s="23"/>
      <c r="P26" s="23"/>
    </row>
    <row r="27" spans="1:16" ht="11.25">
      <c r="A27" s="5" t="s">
        <v>13</v>
      </c>
      <c r="C27" s="8">
        <f aca="true" t="shared" si="4" ref="C27:I27">(C10+G10)/2</f>
        <v>14965</v>
      </c>
      <c r="D27" s="8">
        <f t="shared" si="4"/>
        <v>15736</v>
      </c>
      <c r="E27" s="8">
        <f t="shared" si="4"/>
        <v>16772</v>
      </c>
      <c r="F27" s="24">
        <f t="shared" si="4"/>
        <v>18735.5</v>
      </c>
      <c r="G27" s="8">
        <f t="shared" si="4"/>
        <v>16432</v>
      </c>
      <c r="H27" s="8">
        <f t="shared" si="4"/>
        <v>18049.5</v>
      </c>
      <c r="I27" s="8">
        <f t="shared" si="4"/>
        <v>48027</v>
      </c>
      <c r="J27" s="24">
        <f>+(J10+N10)/2</f>
        <v>50429.5</v>
      </c>
      <c r="K27" s="25">
        <f>+(K10+O10)/2</f>
        <v>49827</v>
      </c>
      <c r="L27" s="8">
        <f>+(78703+L10)/2</f>
        <v>49947</v>
      </c>
      <c r="M27" s="8">
        <f>+(77572+M10)/2</f>
        <v>78261.5</v>
      </c>
      <c r="N27" s="8">
        <f>+(77846+N10)/2</f>
        <v>78756</v>
      </c>
      <c r="O27" s="23">
        <f>(O10+P10)/2</f>
        <v>78184.5</v>
      </c>
      <c r="P27" s="23">
        <f>(P10+63595)/2</f>
        <v>70613.5</v>
      </c>
    </row>
    <row r="28" spans="1:16" ht="11.25">
      <c r="A28" s="5" t="s">
        <v>25</v>
      </c>
      <c r="C28" s="8">
        <f aca="true" t="shared" si="5" ref="C28:P28">C29+C30</f>
        <v>13878</v>
      </c>
      <c r="D28" s="8">
        <f t="shared" si="5"/>
        <v>14553</v>
      </c>
      <c r="E28" s="8">
        <f t="shared" si="5"/>
        <v>7781.5</v>
      </c>
      <c r="F28" s="24">
        <f t="shared" si="5"/>
        <v>7668.5</v>
      </c>
      <c r="G28" s="8">
        <f t="shared" si="5"/>
        <v>5359.5</v>
      </c>
      <c r="H28" s="8">
        <f t="shared" si="5"/>
        <v>6806</v>
      </c>
      <c r="I28" s="8">
        <f t="shared" si="5"/>
        <v>27664</v>
      </c>
      <c r="J28" s="24">
        <f t="shared" si="5"/>
        <v>28639.5</v>
      </c>
      <c r="K28" s="25">
        <f t="shared" si="5"/>
        <v>28321.5</v>
      </c>
      <c r="L28" s="8">
        <f t="shared" si="5"/>
        <v>28581.5</v>
      </c>
      <c r="M28" s="8">
        <f t="shared" si="5"/>
        <v>56086</v>
      </c>
      <c r="N28" s="8">
        <f t="shared" si="5"/>
        <v>57090</v>
      </c>
      <c r="O28" s="23">
        <f t="shared" si="5"/>
        <v>56891.5</v>
      </c>
      <c r="P28" s="23">
        <f t="shared" si="5"/>
        <v>50850</v>
      </c>
    </row>
    <row r="29" spans="2:16" ht="11.25">
      <c r="B29" s="5" t="s">
        <v>15</v>
      </c>
      <c r="C29" s="8">
        <f aca="true" t="shared" si="6" ref="C29:I29">(C12+G12)/2</f>
        <v>13878</v>
      </c>
      <c r="D29" s="8">
        <f t="shared" si="6"/>
        <v>14553</v>
      </c>
      <c r="E29" s="8">
        <f t="shared" si="6"/>
        <v>7781.5</v>
      </c>
      <c r="F29" s="24">
        <f t="shared" si="6"/>
        <v>7668.5</v>
      </c>
      <c r="G29" s="8">
        <f t="shared" si="6"/>
        <v>5359.5</v>
      </c>
      <c r="H29" s="8">
        <f t="shared" si="6"/>
        <v>6806</v>
      </c>
      <c r="I29" s="8">
        <f t="shared" si="6"/>
        <v>27664</v>
      </c>
      <c r="J29" s="24">
        <f>+(J12+N12)/2</f>
        <v>28639.5</v>
      </c>
      <c r="K29" s="25">
        <f>+(K12+O12)/2</f>
        <v>28321.5</v>
      </c>
      <c r="L29" s="8">
        <f>+(57163+L12)/2</f>
        <v>28581.5</v>
      </c>
      <c r="M29" s="8">
        <f>+(56844+M12)/2</f>
        <v>56086</v>
      </c>
      <c r="N29" s="8">
        <f>+(56901+N12)/2</f>
        <v>57090</v>
      </c>
      <c r="O29" s="23">
        <f>(O12+P12)/2</f>
        <v>56891.5</v>
      </c>
      <c r="P29" s="23">
        <f>(P12+0)/2</f>
        <v>28570</v>
      </c>
    </row>
    <row r="30" spans="2:16" ht="11.25">
      <c r="B30" s="5" t="s">
        <v>18</v>
      </c>
      <c r="C30" s="8">
        <f aca="true" t="shared" si="7" ref="C30:I30">(C15+G15)/2</f>
        <v>0</v>
      </c>
      <c r="D30" s="8">
        <f t="shared" si="7"/>
        <v>0</v>
      </c>
      <c r="E30" s="8">
        <f t="shared" si="7"/>
        <v>0</v>
      </c>
      <c r="F30" s="24">
        <f t="shared" si="7"/>
        <v>0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24">
        <f>+(J15+N15)/2</f>
        <v>0</v>
      </c>
      <c r="K30" s="25">
        <f>+(K15+O15)/2</f>
        <v>0</v>
      </c>
      <c r="L30" s="8">
        <v>0</v>
      </c>
      <c r="M30" s="8">
        <v>0</v>
      </c>
      <c r="N30" s="8">
        <v>0</v>
      </c>
      <c r="O30" s="23">
        <f>+(O15+P15)/2</f>
        <v>0</v>
      </c>
      <c r="P30" s="23">
        <f>(P15+44560)/2</f>
        <v>22280</v>
      </c>
    </row>
    <row r="31" spans="1:16" ht="11.25">
      <c r="A31" s="6" t="s">
        <v>23</v>
      </c>
      <c r="B31" s="6"/>
      <c r="C31" s="8">
        <f aca="true" t="shared" si="8" ref="C31:I31">(C25+G25)/2</f>
        <v>3123</v>
      </c>
      <c r="D31" s="8">
        <f t="shared" si="8"/>
        <v>3069</v>
      </c>
      <c r="E31" s="8">
        <f t="shared" si="8"/>
        <v>3001</v>
      </c>
      <c r="F31" s="24">
        <f t="shared" si="8"/>
        <v>2973.5</v>
      </c>
      <c r="G31" s="8">
        <f t="shared" si="8"/>
        <v>3650.5</v>
      </c>
      <c r="H31" s="8">
        <f t="shared" si="8"/>
        <v>3654</v>
      </c>
      <c r="I31" s="29">
        <f t="shared" si="8"/>
        <v>4959.5</v>
      </c>
      <c r="J31" s="30">
        <f>+(J25+N25)/2</f>
        <v>3996.5</v>
      </c>
      <c r="K31" s="31">
        <f>+(K25+O25)/2</f>
        <v>7504.5</v>
      </c>
      <c r="L31" s="29">
        <f>+(8840+L25)/2</f>
        <v>6556.5</v>
      </c>
      <c r="M31" s="29">
        <f>+(6877+M25)/2</f>
        <v>6920</v>
      </c>
      <c r="N31" s="29">
        <f>+(4930+N25)/2</f>
        <v>4990</v>
      </c>
      <c r="O31" s="29">
        <f>(O25+P25)/2</f>
        <v>8592</v>
      </c>
      <c r="P31" s="29">
        <f>(P25+5617)/2</f>
        <v>6003</v>
      </c>
    </row>
    <row r="32" spans="1:14" ht="11.25">
      <c r="A32" s="15" t="s">
        <v>26</v>
      </c>
      <c r="B32" s="9"/>
      <c r="C32" s="9"/>
      <c r="D32" s="33"/>
      <c r="E32" s="33"/>
      <c r="F32" s="34"/>
      <c r="G32" s="9"/>
      <c r="H32" s="9"/>
      <c r="I32" s="7"/>
      <c r="J32" s="24"/>
      <c r="K32" s="35"/>
      <c r="L32" s="7"/>
      <c r="M32" s="7"/>
      <c r="N32" s="7"/>
    </row>
    <row r="33" spans="1:16" ht="11.25">
      <c r="A33" s="5" t="s">
        <v>27</v>
      </c>
      <c r="B33" s="7"/>
      <c r="C33" s="8">
        <v>1265</v>
      </c>
      <c r="D33" s="8">
        <v>918</v>
      </c>
      <c r="E33" s="8">
        <v>591</v>
      </c>
      <c r="F33" s="32">
        <v>271</v>
      </c>
      <c r="G33" s="8">
        <v>1682</v>
      </c>
      <c r="H33" s="8">
        <v>1384</v>
      </c>
      <c r="I33" s="8">
        <v>986</v>
      </c>
      <c r="J33" s="24">
        <v>501</v>
      </c>
      <c r="K33" s="25">
        <v>6470</v>
      </c>
      <c r="L33" s="8">
        <v>5950</v>
      </c>
      <c r="M33" s="8">
        <v>4387</v>
      </c>
      <c r="N33" s="8">
        <v>2268</v>
      </c>
      <c r="O33" s="23">
        <v>8743</v>
      </c>
      <c r="P33" s="23">
        <v>8306</v>
      </c>
    </row>
    <row r="34" spans="1:16" ht="11.25">
      <c r="A34" s="5" t="s">
        <v>28</v>
      </c>
      <c r="B34" s="7"/>
      <c r="C34" s="8">
        <v>246</v>
      </c>
      <c r="D34" s="8">
        <v>179</v>
      </c>
      <c r="E34" s="8">
        <v>115</v>
      </c>
      <c r="F34" s="32">
        <v>52</v>
      </c>
      <c r="G34" s="8">
        <v>763</v>
      </c>
      <c r="H34" s="8">
        <v>716</v>
      </c>
      <c r="I34" s="8">
        <v>598</v>
      </c>
      <c r="J34" s="24">
        <v>344</v>
      </c>
      <c r="K34" s="25">
        <v>4386</v>
      </c>
      <c r="L34" s="8">
        <v>4022</v>
      </c>
      <c r="M34" s="8">
        <v>0</v>
      </c>
      <c r="N34" s="8">
        <v>0</v>
      </c>
      <c r="O34" s="23">
        <v>0</v>
      </c>
      <c r="P34" s="23">
        <v>19</v>
      </c>
    </row>
    <row r="35" spans="1:16" ht="11.25">
      <c r="A35" s="5" t="s">
        <v>29</v>
      </c>
      <c r="B35" s="7"/>
      <c r="C35" s="8">
        <f>+C33-C34</f>
        <v>1019</v>
      </c>
      <c r="D35" s="8">
        <f>+D33-D34</f>
        <v>739</v>
      </c>
      <c r="E35" s="8">
        <f>+E33-E34</f>
        <v>476</v>
      </c>
      <c r="F35" s="32">
        <f>+F33-F34</f>
        <v>219</v>
      </c>
      <c r="G35" s="8">
        <f>+G33-G34</f>
        <v>919</v>
      </c>
      <c r="H35" s="8">
        <f aca="true" t="shared" si="9" ref="H35:P35">H33-H34</f>
        <v>668</v>
      </c>
      <c r="I35" s="8">
        <f t="shared" si="9"/>
        <v>388</v>
      </c>
      <c r="J35" s="24">
        <f t="shared" si="9"/>
        <v>157</v>
      </c>
      <c r="K35" s="25">
        <f t="shared" si="9"/>
        <v>2084</v>
      </c>
      <c r="L35" s="8">
        <f t="shared" si="9"/>
        <v>1928</v>
      </c>
      <c r="M35" s="8">
        <f t="shared" si="9"/>
        <v>4387</v>
      </c>
      <c r="N35" s="8">
        <f t="shared" si="9"/>
        <v>2268</v>
      </c>
      <c r="O35" s="23">
        <f t="shared" si="9"/>
        <v>8743</v>
      </c>
      <c r="P35" s="23">
        <f t="shared" si="9"/>
        <v>8287</v>
      </c>
    </row>
    <row r="36" spans="1:16" ht="11.25">
      <c r="A36" s="5" t="s">
        <v>30</v>
      </c>
      <c r="B36" s="7"/>
      <c r="C36" s="8">
        <v>4</v>
      </c>
      <c r="D36" s="8">
        <v>1</v>
      </c>
      <c r="E36" s="8">
        <v>1</v>
      </c>
      <c r="F36" s="32">
        <v>1</v>
      </c>
      <c r="G36" s="8">
        <v>12</v>
      </c>
      <c r="H36" s="8">
        <v>13</v>
      </c>
      <c r="I36" s="8">
        <v>1</v>
      </c>
      <c r="J36" s="24">
        <v>0</v>
      </c>
      <c r="K36" s="25">
        <v>1</v>
      </c>
      <c r="L36" s="8">
        <v>1</v>
      </c>
      <c r="M36" s="8">
        <v>1</v>
      </c>
      <c r="N36" s="8">
        <v>0</v>
      </c>
      <c r="O36" s="23">
        <v>150</v>
      </c>
      <c r="P36" s="23">
        <v>9</v>
      </c>
    </row>
    <row r="37" spans="1:16" ht="11.25">
      <c r="A37" s="5" t="s">
        <v>31</v>
      </c>
      <c r="B37" s="7"/>
      <c r="C37" s="8">
        <f>+C36+C35</f>
        <v>1023</v>
      </c>
      <c r="D37" s="8">
        <f>+D36+D35</f>
        <v>740</v>
      </c>
      <c r="E37" s="8">
        <f>+E36+E35</f>
        <v>477</v>
      </c>
      <c r="F37" s="32">
        <f>+F36+F35</f>
        <v>220</v>
      </c>
      <c r="G37" s="8">
        <f>+G36+G35</f>
        <v>931</v>
      </c>
      <c r="H37" s="8">
        <f>H35+H36</f>
        <v>681</v>
      </c>
      <c r="I37" s="8">
        <v>388</v>
      </c>
      <c r="J37" s="24">
        <f aca="true" t="shared" si="10" ref="J37:P37">J35+J36</f>
        <v>157</v>
      </c>
      <c r="K37" s="25">
        <f t="shared" si="10"/>
        <v>2085</v>
      </c>
      <c r="L37" s="8">
        <f t="shared" si="10"/>
        <v>1929</v>
      </c>
      <c r="M37" s="8">
        <f t="shared" si="10"/>
        <v>4388</v>
      </c>
      <c r="N37" s="8">
        <f t="shared" si="10"/>
        <v>2268</v>
      </c>
      <c r="O37" s="23">
        <f t="shared" si="10"/>
        <v>8893</v>
      </c>
      <c r="P37" s="23">
        <f t="shared" si="10"/>
        <v>8296</v>
      </c>
    </row>
    <row r="38" spans="1:16" ht="11.25">
      <c r="A38" s="5" t="s">
        <v>32</v>
      </c>
      <c r="B38" s="7"/>
      <c r="C38" s="8">
        <v>864</v>
      </c>
      <c r="D38" s="8">
        <v>637</v>
      </c>
      <c r="E38" s="8">
        <v>431</v>
      </c>
      <c r="F38" s="32">
        <v>216</v>
      </c>
      <c r="G38" s="8">
        <v>844</v>
      </c>
      <c r="H38" s="8">
        <v>645</v>
      </c>
      <c r="I38" s="8">
        <v>432</v>
      </c>
      <c r="J38" s="24">
        <v>214</v>
      </c>
      <c r="K38" s="25">
        <v>869</v>
      </c>
      <c r="L38" s="8">
        <v>656</v>
      </c>
      <c r="M38" s="8">
        <v>427</v>
      </c>
      <c r="N38" s="8">
        <v>219</v>
      </c>
      <c r="O38" s="23">
        <v>950</v>
      </c>
      <c r="P38" s="23">
        <v>4907</v>
      </c>
    </row>
    <row r="39" spans="1:16" ht="11.25">
      <c r="A39" s="5" t="s">
        <v>33</v>
      </c>
      <c r="B39" s="7"/>
      <c r="C39" s="8">
        <f>+C37-C38</f>
        <v>159</v>
      </c>
      <c r="D39" s="8">
        <f>+D37-D38</f>
        <v>103</v>
      </c>
      <c r="E39" s="8">
        <f>+E37-E38</f>
        <v>46</v>
      </c>
      <c r="F39" s="32">
        <f>+F37-F38</f>
        <v>4</v>
      </c>
      <c r="G39" s="8">
        <f>+G37-G38</f>
        <v>87</v>
      </c>
      <c r="H39" s="8">
        <f aca="true" t="shared" si="11" ref="H39:P39">H37-H38</f>
        <v>36</v>
      </c>
      <c r="I39" s="8">
        <f t="shared" si="11"/>
        <v>-44</v>
      </c>
      <c r="J39" s="24">
        <f t="shared" si="11"/>
        <v>-57</v>
      </c>
      <c r="K39" s="25">
        <f t="shared" si="11"/>
        <v>1216</v>
      </c>
      <c r="L39" s="8">
        <f t="shared" si="11"/>
        <v>1273</v>
      </c>
      <c r="M39" s="8">
        <f t="shared" si="11"/>
        <v>3961</v>
      </c>
      <c r="N39" s="8">
        <f t="shared" si="11"/>
        <v>2049</v>
      </c>
      <c r="O39" s="23">
        <f t="shared" si="11"/>
        <v>7943</v>
      </c>
      <c r="P39" s="23">
        <f t="shared" si="11"/>
        <v>3389</v>
      </c>
    </row>
    <row r="40" spans="1:16" ht="11.25">
      <c r="A40" s="6" t="s">
        <v>34</v>
      </c>
      <c r="B40" s="6"/>
      <c r="C40" s="29">
        <f>+C39</f>
        <v>159</v>
      </c>
      <c r="D40" s="29">
        <v>103</v>
      </c>
      <c r="E40" s="29">
        <v>46</v>
      </c>
      <c r="F40" s="36">
        <v>4</v>
      </c>
      <c r="G40" s="29">
        <v>87</v>
      </c>
      <c r="H40" s="29">
        <v>36</v>
      </c>
      <c r="I40" s="29">
        <v>-44</v>
      </c>
      <c r="J40" s="30">
        <v>-57</v>
      </c>
      <c r="K40" s="31">
        <v>1216</v>
      </c>
      <c r="L40" s="29">
        <v>1273</v>
      </c>
      <c r="M40" s="29">
        <v>3961</v>
      </c>
      <c r="N40" s="29">
        <v>2049</v>
      </c>
      <c r="O40" s="29">
        <v>7943</v>
      </c>
      <c r="P40" s="29">
        <v>3389</v>
      </c>
    </row>
    <row r="41" spans="1:14" ht="11.25">
      <c r="A41" s="15" t="s">
        <v>35</v>
      </c>
      <c r="E41" s="8"/>
      <c r="F41" s="32"/>
      <c r="I41" s="8"/>
      <c r="J41" s="32"/>
      <c r="K41" s="35"/>
      <c r="L41" s="7"/>
      <c r="M41" s="7"/>
      <c r="N41" s="7"/>
    </row>
    <row r="42" spans="1:16" ht="11.25">
      <c r="A42" s="5" t="s">
        <v>36</v>
      </c>
      <c r="C42" s="28">
        <v>0</v>
      </c>
      <c r="D42" s="28">
        <v>0</v>
      </c>
      <c r="E42" s="28">
        <v>0</v>
      </c>
      <c r="F42" s="26">
        <v>0</v>
      </c>
      <c r="G42" s="27">
        <v>0</v>
      </c>
      <c r="H42" s="8">
        <v>0</v>
      </c>
      <c r="I42" s="8">
        <v>0</v>
      </c>
      <c r="J42" s="26">
        <v>0</v>
      </c>
      <c r="K42" s="37">
        <v>0</v>
      </c>
      <c r="L42" s="28">
        <v>0</v>
      </c>
      <c r="M42" s="28">
        <v>0</v>
      </c>
      <c r="N42" s="28">
        <v>0</v>
      </c>
      <c r="O42" s="27">
        <v>0</v>
      </c>
      <c r="P42" s="27">
        <v>0</v>
      </c>
    </row>
    <row r="43" spans="1:16" ht="11.25">
      <c r="A43" s="5" t="s">
        <v>37</v>
      </c>
      <c r="C43" s="28">
        <v>0</v>
      </c>
      <c r="D43" s="28">
        <v>0</v>
      </c>
      <c r="E43" s="28">
        <v>0</v>
      </c>
      <c r="F43" s="26">
        <v>0</v>
      </c>
      <c r="G43" s="27">
        <v>0</v>
      </c>
      <c r="H43" s="8">
        <v>0</v>
      </c>
      <c r="I43" s="8">
        <v>0</v>
      </c>
      <c r="J43" s="26">
        <v>0</v>
      </c>
      <c r="K43" s="37">
        <v>0</v>
      </c>
      <c r="L43" s="28">
        <v>0</v>
      </c>
      <c r="M43" s="28">
        <v>0</v>
      </c>
      <c r="N43" s="28">
        <v>0</v>
      </c>
      <c r="O43" s="27">
        <v>0</v>
      </c>
      <c r="P43" s="27">
        <v>0</v>
      </c>
    </row>
    <row r="44" spans="1:16" ht="11.25">
      <c r="A44" s="5" t="s">
        <v>38</v>
      </c>
      <c r="C44" s="8">
        <v>0</v>
      </c>
      <c r="D44" s="8">
        <v>0</v>
      </c>
      <c r="E44" s="8">
        <v>0</v>
      </c>
      <c r="F44" s="24">
        <v>0</v>
      </c>
      <c r="G44" s="8">
        <v>0</v>
      </c>
      <c r="H44" s="8">
        <v>0</v>
      </c>
      <c r="I44" s="8">
        <v>0</v>
      </c>
      <c r="J44" s="26">
        <v>0</v>
      </c>
      <c r="K44" s="37">
        <v>0</v>
      </c>
      <c r="L44" s="28">
        <v>0</v>
      </c>
      <c r="M44" s="28">
        <v>0</v>
      </c>
      <c r="N44" s="28">
        <v>0</v>
      </c>
      <c r="O44" s="27">
        <v>0</v>
      </c>
      <c r="P44" s="27">
        <v>0</v>
      </c>
    </row>
    <row r="45" spans="1:16" ht="11.25">
      <c r="A45" s="7" t="s">
        <v>39</v>
      </c>
      <c r="C45" s="8">
        <v>0</v>
      </c>
      <c r="D45" s="8">
        <v>0</v>
      </c>
      <c r="E45" s="8">
        <v>0</v>
      </c>
      <c r="F45" s="24">
        <v>0</v>
      </c>
      <c r="G45" s="8">
        <v>0</v>
      </c>
      <c r="H45" s="8">
        <v>0</v>
      </c>
      <c r="I45" s="8">
        <v>0</v>
      </c>
      <c r="J45" s="26">
        <v>0</v>
      </c>
      <c r="K45" s="37">
        <v>0</v>
      </c>
      <c r="L45" s="28">
        <v>0</v>
      </c>
      <c r="M45" s="28">
        <v>0</v>
      </c>
      <c r="N45" s="28">
        <v>0</v>
      </c>
      <c r="O45" s="27">
        <v>0</v>
      </c>
      <c r="P45" s="27">
        <v>0</v>
      </c>
    </row>
    <row r="46" spans="1:16" ht="11.25">
      <c r="A46" s="6" t="s">
        <v>40</v>
      </c>
      <c r="B46" s="6"/>
      <c r="C46" s="29">
        <v>0</v>
      </c>
      <c r="D46" s="29">
        <v>0</v>
      </c>
      <c r="E46" s="29">
        <v>0</v>
      </c>
      <c r="F46" s="30">
        <v>0</v>
      </c>
      <c r="G46" s="29">
        <v>0</v>
      </c>
      <c r="H46" s="29">
        <v>0</v>
      </c>
      <c r="I46" s="29">
        <v>0</v>
      </c>
      <c r="J46" s="38">
        <v>0</v>
      </c>
      <c r="K46" s="39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</row>
    <row r="47" spans="1:14" ht="11.25">
      <c r="A47" s="15" t="s">
        <v>41</v>
      </c>
      <c r="E47" s="8"/>
      <c r="F47" s="32"/>
      <c r="I47" s="9"/>
      <c r="J47" s="34"/>
      <c r="K47" s="41"/>
      <c r="L47" s="9"/>
      <c r="M47" s="7"/>
      <c r="N47" s="7"/>
    </row>
    <row r="48" spans="1:16" ht="11.25">
      <c r="A48" s="5" t="s">
        <v>42</v>
      </c>
      <c r="C48" s="42">
        <f aca="true" t="shared" si="12" ref="C48:H48">+C25/C12</f>
        <v>0.18541996830427893</v>
      </c>
      <c r="D48" s="42">
        <f t="shared" si="12"/>
        <v>0.2002710726732929</v>
      </c>
      <c r="E48" s="42">
        <f t="shared" si="12"/>
        <v>0.19572061941785002</v>
      </c>
      <c r="F48" s="43">
        <f t="shared" si="12"/>
        <v>0.19586620590728304</v>
      </c>
      <c r="G48" s="42">
        <f t="shared" si="12"/>
        <v>0.2879932829554996</v>
      </c>
      <c r="H48" s="42">
        <f t="shared" si="12"/>
        <v>0.22296503085512784</v>
      </c>
      <c r="I48" s="42">
        <v>0</v>
      </c>
      <c r="J48" s="43">
        <v>0</v>
      </c>
      <c r="K48" s="44">
        <v>0</v>
      </c>
      <c r="L48" s="42">
        <v>0</v>
      </c>
      <c r="M48" s="42">
        <f>+M25/M12</f>
        <v>0.1258494794679005</v>
      </c>
      <c r="N48" s="42">
        <f>+N25/N12</f>
        <v>0.08816494701373977</v>
      </c>
      <c r="O48" s="42">
        <f>+O25/O12</f>
        <v>0.1905795950073266</v>
      </c>
      <c r="P48" s="43">
        <f>+P25/P12</f>
        <v>0.11181309065453272</v>
      </c>
    </row>
    <row r="49" spans="1:16" ht="11.25">
      <c r="A49" s="6" t="s">
        <v>43</v>
      </c>
      <c r="B49" s="6"/>
      <c r="C49" s="45">
        <f aca="true" t="shared" si="13" ref="C49:H49">C25/(C12+C15)</f>
        <v>0.18541996830427893</v>
      </c>
      <c r="D49" s="45">
        <f t="shared" si="13"/>
        <v>0.2002710726732929</v>
      </c>
      <c r="E49" s="45">
        <f t="shared" si="13"/>
        <v>0.19572061941785002</v>
      </c>
      <c r="F49" s="46">
        <f t="shared" si="13"/>
        <v>0.19586620590728304</v>
      </c>
      <c r="G49" s="45">
        <f t="shared" si="13"/>
        <v>0.2879932829554996</v>
      </c>
      <c r="H49" s="45">
        <f t="shared" si="13"/>
        <v>0.22296503085512784</v>
      </c>
      <c r="I49" s="45">
        <v>0</v>
      </c>
      <c r="J49" s="46">
        <v>0</v>
      </c>
      <c r="K49" s="47">
        <v>0</v>
      </c>
      <c r="L49" s="45">
        <v>0</v>
      </c>
      <c r="M49" s="45">
        <f>M25/(M12+M15)</f>
        <v>0.1258494794679005</v>
      </c>
      <c r="N49" s="45">
        <f>N25/(N12+N15)</f>
        <v>0.08816494701373977</v>
      </c>
      <c r="O49" s="45">
        <f>O25/(O12+O15)</f>
        <v>0.1905795950073266</v>
      </c>
      <c r="P49" s="45">
        <f>P25/(P12+P15)</f>
        <v>0.11181309065453272</v>
      </c>
    </row>
    <row r="50" spans="1:14" ht="11.25">
      <c r="A50" s="15" t="s">
        <v>44</v>
      </c>
      <c r="D50" s="8"/>
      <c r="E50" s="8"/>
      <c r="F50" s="32"/>
      <c r="I50" s="7"/>
      <c r="J50" s="32"/>
      <c r="K50" s="35"/>
      <c r="L50" s="7"/>
      <c r="M50" s="7"/>
      <c r="N50" s="9"/>
    </row>
    <row r="51" spans="1:16" ht="11.25">
      <c r="A51" s="5" t="s">
        <v>45</v>
      </c>
      <c r="C51" s="42">
        <f aca="true" t="shared" si="14" ref="C51:I51">C11/C16</f>
        <v>0.0020592203365760136</v>
      </c>
      <c r="D51" s="42">
        <f t="shared" si="14"/>
        <v>0.00314070351758794</v>
      </c>
      <c r="E51" s="42">
        <f t="shared" si="14"/>
        <v>0.0020511202272010098</v>
      </c>
      <c r="F51" s="43">
        <f t="shared" si="14"/>
        <v>0.005082995790644111</v>
      </c>
      <c r="G51" s="42">
        <f t="shared" si="14"/>
        <v>0.038957876795714635</v>
      </c>
      <c r="H51" s="42">
        <f t="shared" si="14"/>
        <v>0.009637694092450473</v>
      </c>
      <c r="I51" s="42">
        <f t="shared" si="14"/>
        <v>1.2106394013484478</v>
      </c>
      <c r="J51" s="43">
        <f>+J11/J16</f>
        <v>1.1058271195802265</v>
      </c>
      <c r="K51" s="44">
        <f aca="true" t="shared" si="15" ref="K51:P51">K11/K16</f>
        <v>1.2094973752488989</v>
      </c>
      <c r="L51" s="42">
        <f t="shared" si="15"/>
        <v>1.1916413645293802</v>
      </c>
      <c r="M51" s="42">
        <f t="shared" si="15"/>
        <v>0.2788468227797025</v>
      </c>
      <c r="N51" s="42">
        <f t="shared" si="15"/>
        <v>0.2645290312189622</v>
      </c>
      <c r="O51" s="48">
        <f t="shared" si="15"/>
        <v>0.2839813695722666</v>
      </c>
      <c r="P51" s="48">
        <f t="shared" si="15"/>
        <v>0.26052746202807325</v>
      </c>
    </row>
    <row r="52" spans="1:16" ht="11.25">
      <c r="A52" s="5" t="s">
        <v>46</v>
      </c>
      <c r="C52" s="42">
        <f aca="true" t="shared" si="16" ref="C52:I52">C11/C10</f>
        <v>0.0016126341544792303</v>
      </c>
      <c r="D52" s="42">
        <f t="shared" si="16"/>
        <v>0.002414875633904854</v>
      </c>
      <c r="E52" s="42">
        <f t="shared" si="16"/>
        <v>0.001581412322851408</v>
      </c>
      <c r="F52" s="43">
        <f t="shared" si="16"/>
        <v>0.003931686939427448</v>
      </c>
      <c r="G52" s="42">
        <f t="shared" si="16"/>
        <v>0.026784966937306438</v>
      </c>
      <c r="H52" s="42">
        <f t="shared" si="16"/>
        <v>0.007244432519452643</v>
      </c>
      <c r="I52" s="42">
        <f t="shared" si="16"/>
        <v>0.9553879436356195</v>
      </c>
      <c r="J52" s="43">
        <f>+J11/J10</f>
        <v>0.9446987212758929</v>
      </c>
      <c r="K52" s="44">
        <f aca="true" t="shared" si="17" ref="K52:P52">K11/K10</f>
        <v>0.9583114213319309</v>
      </c>
      <c r="L52" s="42">
        <f t="shared" si="17"/>
        <v>0.9445519324241424</v>
      </c>
      <c r="M52" s="42">
        <f t="shared" si="17"/>
        <v>0.25384098998112753</v>
      </c>
      <c r="N52" s="42">
        <f t="shared" si="17"/>
        <v>0.24739537569352044</v>
      </c>
      <c r="O52" s="48">
        <f t="shared" si="17"/>
        <v>0.2447007124985712</v>
      </c>
      <c r="P52" s="48">
        <f t="shared" si="17"/>
        <v>0.23884480626545754</v>
      </c>
    </row>
    <row r="53" spans="1:16" ht="11.25">
      <c r="A53" s="6" t="s">
        <v>47</v>
      </c>
      <c r="B53" s="6"/>
      <c r="C53" s="45">
        <f aca="true" t="shared" si="18" ref="C53:I53">(C11+C15)/C16</f>
        <v>0.0020592203365760136</v>
      </c>
      <c r="D53" s="45">
        <f t="shared" si="18"/>
        <v>0.00314070351758794</v>
      </c>
      <c r="E53" s="45">
        <f t="shared" si="18"/>
        <v>0.0020511202272010098</v>
      </c>
      <c r="F53" s="46">
        <f t="shared" si="18"/>
        <v>0.005082995790644111</v>
      </c>
      <c r="G53" s="45">
        <f t="shared" si="18"/>
        <v>0.038957876795714635</v>
      </c>
      <c r="H53" s="45">
        <f t="shared" si="18"/>
        <v>0.009637694092450473</v>
      </c>
      <c r="I53" s="45">
        <f t="shared" si="18"/>
        <v>1.2106394013484478</v>
      </c>
      <c r="J53" s="46">
        <f>+(J11+J15)/J16</f>
        <v>1.1058271195802265</v>
      </c>
      <c r="K53" s="47">
        <f aca="true" t="shared" si="19" ref="K53:P53">(K11+K15)/K16</f>
        <v>1.2094973752488989</v>
      </c>
      <c r="L53" s="45">
        <f t="shared" si="19"/>
        <v>1.1916413645293802</v>
      </c>
      <c r="M53" s="45">
        <f t="shared" si="19"/>
        <v>0.2788468227797025</v>
      </c>
      <c r="N53" s="45">
        <f t="shared" si="19"/>
        <v>0.2645290312189622</v>
      </c>
      <c r="O53" s="45">
        <f t="shared" si="19"/>
        <v>0.2839813695722666</v>
      </c>
      <c r="P53" s="45">
        <f t="shared" si="19"/>
        <v>0.26052746202807325</v>
      </c>
    </row>
    <row r="54" spans="1:14" ht="11.25">
      <c r="A54" s="15" t="s">
        <v>48</v>
      </c>
      <c r="D54" s="8"/>
      <c r="E54" s="8"/>
      <c r="F54" s="32"/>
      <c r="I54" s="7"/>
      <c r="J54" s="32"/>
      <c r="K54" s="35"/>
      <c r="L54" s="7"/>
      <c r="M54" s="7"/>
      <c r="N54" s="7"/>
    </row>
    <row r="55" spans="1:16" ht="11.25">
      <c r="A55" s="5" t="s">
        <v>49</v>
      </c>
      <c r="B55" s="7"/>
      <c r="C55" s="49">
        <f>C40/C28</f>
        <v>0.011456982274102896</v>
      </c>
      <c r="D55" s="42">
        <f>(D40/0.75)/D28</f>
        <v>0.009436771341533246</v>
      </c>
      <c r="E55" s="50">
        <f>(E40/0.5)/E28</f>
        <v>0.011822913320053974</v>
      </c>
      <c r="F55" s="43">
        <f>((F40)/0.25)/F28</f>
        <v>0.00208645758622938</v>
      </c>
      <c r="G55" s="49">
        <f>G40/G28</f>
        <v>0.01623285754268122</v>
      </c>
      <c r="H55" s="49">
        <f>(H40/0.75)/H28</f>
        <v>0.007052600646488392</v>
      </c>
      <c r="I55" s="48">
        <f>(I40/0.5)/I28</f>
        <v>-0.0031810294968189707</v>
      </c>
      <c r="J55" s="48">
        <f>((J40)/0.25)/J28</f>
        <v>-0.007961032839260461</v>
      </c>
      <c r="K55" s="51">
        <f>K40/K28</f>
        <v>0.0429355789771022</v>
      </c>
      <c r="L55" s="49">
        <f>(L40/0.75)/L28</f>
        <v>0.059385733195715176</v>
      </c>
      <c r="M55" s="49">
        <f>(M40/0.5)/M28</f>
        <v>0.14124737011018793</v>
      </c>
      <c r="N55" s="42">
        <f>((N40)/0.25)/N28</f>
        <v>0.14356279558591697</v>
      </c>
      <c r="O55" s="48">
        <f>O40/O28</f>
        <v>0.13961663868943516</v>
      </c>
      <c r="P55" s="48">
        <f>P40/P28</f>
        <v>0.06664700098328417</v>
      </c>
    </row>
    <row r="56" spans="1:16" ht="11.25">
      <c r="A56" s="5" t="s">
        <v>50</v>
      </c>
      <c r="B56" s="7"/>
      <c r="C56" s="49">
        <f>C40/C27</f>
        <v>0.010624791179418643</v>
      </c>
      <c r="D56" s="42">
        <f>(D40/0.75)/D27</f>
        <v>0.00872733435011015</v>
      </c>
      <c r="E56" s="42">
        <f>(E40/0.5)/E27</f>
        <v>0.005485332697352731</v>
      </c>
      <c r="F56" s="43">
        <f>((F40)/0.25)/F27</f>
        <v>0.0008539937551706653</v>
      </c>
      <c r="G56" s="49">
        <f>G40/G27</f>
        <v>0.005294547224926972</v>
      </c>
      <c r="H56" s="49">
        <f>(H40/0.75)/H27</f>
        <v>0.002659353444693759</v>
      </c>
      <c r="I56" s="48">
        <f>(I40/0.5)/I27</f>
        <v>-0.0018323026630853478</v>
      </c>
      <c r="J56" s="48">
        <f>((J40)/0.25)/J27</f>
        <v>-0.004521163208042912</v>
      </c>
      <c r="K56" s="51">
        <f>K40/K27</f>
        <v>0.024404439360186245</v>
      </c>
      <c r="L56" s="49">
        <f>(L40/0.75)/L27</f>
        <v>0.03398268831628192</v>
      </c>
      <c r="M56" s="49">
        <f>(M40/0.5)/M27</f>
        <v>0.1012247401340378</v>
      </c>
      <c r="N56" s="42">
        <f>((N40)/0.25)/N27</f>
        <v>0.10406826146579308</v>
      </c>
      <c r="O56" s="48">
        <f>O40/O27</f>
        <v>0.10159302675082657</v>
      </c>
      <c r="P56" s="48">
        <f>P40/P27</f>
        <v>0.047993655604098365</v>
      </c>
    </row>
    <row r="57" spans="1:16" ht="11.25">
      <c r="A57" s="5" t="s">
        <v>51</v>
      </c>
      <c r="B57" s="7"/>
      <c r="C57" s="49">
        <f>+C40/C31</f>
        <v>0.05091258405379443</v>
      </c>
      <c r="D57" s="42">
        <f>(D40/0.75)/D31</f>
        <v>0.04474856087759314</v>
      </c>
      <c r="E57" s="42">
        <f>(E40/0.5)/E31</f>
        <v>0.030656447850716428</v>
      </c>
      <c r="F57" s="43">
        <f>((F40)/0.25)/F31</f>
        <v>0.0053808643013284006</v>
      </c>
      <c r="G57" s="49">
        <f>+G40/G31</f>
        <v>0.023832351732639364</v>
      </c>
      <c r="H57" s="49">
        <f>(H40/0.75)/H31</f>
        <v>0.013136288998357963</v>
      </c>
      <c r="I57" s="48">
        <f>(I40/0.5)/I31</f>
        <v>-0.017743724165742516</v>
      </c>
      <c r="J57" s="48">
        <f>((J40)/0.25)/J31</f>
        <v>-0.057049918678843986</v>
      </c>
      <c r="K57" s="51">
        <f>+K40/K31</f>
        <v>0.16203611166633353</v>
      </c>
      <c r="L57" s="49">
        <f>(L40/0.75)/L31</f>
        <v>0.2588779582602506</v>
      </c>
      <c r="M57" s="49">
        <f>(M40/0.5)/M31</f>
        <v>1.1447976878612718</v>
      </c>
      <c r="N57" s="42">
        <f>((N40)/0.25)/N31</f>
        <v>1.6424849699398798</v>
      </c>
      <c r="O57" s="48">
        <f>O40/O31</f>
        <v>0.9244646182495344</v>
      </c>
      <c r="P57" s="48">
        <f>P40/P31</f>
        <v>0.5645510578044312</v>
      </c>
    </row>
    <row r="58" spans="1:16" ht="11.25">
      <c r="A58" s="5" t="s">
        <v>52</v>
      </c>
      <c r="B58" s="7"/>
      <c r="C58" s="49">
        <f>C33/C28</f>
        <v>0.09115146274679349</v>
      </c>
      <c r="D58" s="42">
        <f>(D33/0.75)/D28</f>
        <v>0.08410636982065553</v>
      </c>
      <c r="E58" s="42">
        <f>(E33/0.5)/E28</f>
        <v>0.1518987341772152</v>
      </c>
      <c r="F58" s="43">
        <f>((F33)/0.25)/F28</f>
        <v>0.1413575014670405</v>
      </c>
      <c r="G58" s="49">
        <f>G33/G28</f>
        <v>0.31383524582517025</v>
      </c>
      <c r="H58" s="49">
        <f>(H33/0.75)/H28</f>
        <v>0.271133313742776</v>
      </c>
      <c r="I58" s="48">
        <f>(I33/0.5)/I28</f>
        <v>0.07128397917871603</v>
      </c>
      <c r="J58" s="48">
        <f>((J33)/0.25)/J28</f>
        <v>0.06997328863981564</v>
      </c>
      <c r="K58" s="51">
        <f>K33/K28</f>
        <v>0.22844835195875926</v>
      </c>
      <c r="L58" s="49">
        <f>(L33/0.75)/L28</f>
        <v>0.2775688236563278</v>
      </c>
      <c r="M58" s="49">
        <f>(M33/0.5)/M28</f>
        <v>0.1564383268551867</v>
      </c>
      <c r="N58" s="42">
        <f>((N33)/0.25)/N28</f>
        <v>0.15890698896479244</v>
      </c>
      <c r="O58" s="48">
        <f>O33/O28</f>
        <v>0.15367849327228145</v>
      </c>
      <c r="P58" s="48">
        <f>P33/P27</f>
        <v>0.11762623294412541</v>
      </c>
    </row>
    <row r="59" spans="1:16" ht="11.25">
      <c r="A59" s="5" t="s">
        <v>53</v>
      </c>
      <c r="B59" s="7"/>
      <c r="C59" s="49">
        <f>C34/C28</f>
        <v>0.01772589710332901</v>
      </c>
      <c r="D59" s="42">
        <f>(D34/0.75)/D28</f>
        <v>0.016399825923635446</v>
      </c>
      <c r="E59" s="42">
        <f>(E34/0.5)/E28</f>
        <v>0.029557283300134934</v>
      </c>
      <c r="F59" s="43">
        <f>((F34)/0.25)/F28</f>
        <v>0.027123948620981938</v>
      </c>
      <c r="G59" s="49">
        <f>G34/G28</f>
        <v>0.14236402649500887</v>
      </c>
      <c r="H59" s="49">
        <f>(H34/0.75)/H28</f>
        <v>0.14026839063571359</v>
      </c>
      <c r="I59" s="48">
        <f>(I34/0.5)/I28</f>
        <v>0.043233082706766915</v>
      </c>
      <c r="J59" s="48">
        <f>((J34)/0.25)/J28</f>
        <v>0.04804553152115086</v>
      </c>
      <c r="K59" s="51">
        <f>K34/K28</f>
        <v>0.15486467877760712</v>
      </c>
      <c r="L59" s="49">
        <f>(L34/0.75)/L28</f>
        <v>0.18762719474718495</v>
      </c>
      <c r="M59" s="49">
        <f>(M34/0.5)/M28</f>
        <v>0</v>
      </c>
      <c r="N59" s="42">
        <f>((N34)/0.25)/N28</f>
        <v>0</v>
      </c>
      <c r="O59" s="48">
        <f>O34/O28</f>
        <v>0</v>
      </c>
      <c r="P59" s="48">
        <f>P34/P27</f>
        <v>0.0002690703618996368</v>
      </c>
    </row>
    <row r="60" spans="1:16" ht="11.25">
      <c r="A60" s="5" t="s">
        <v>54</v>
      </c>
      <c r="B60" s="7"/>
      <c r="C60" s="49">
        <f>C35/C28</f>
        <v>0.07342556564346447</v>
      </c>
      <c r="D60" s="42">
        <f>(D35/0.75)/D28</f>
        <v>0.06770654389702009</v>
      </c>
      <c r="E60" s="42">
        <f>(E35/0.5)/E28</f>
        <v>0.12234145087708026</v>
      </c>
      <c r="F60" s="43">
        <f>((F35)/0.25)/F28</f>
        <v>0.11423355284605854</v>
      </c>
      <c r="G60" s="49">
        <f>G35/G28</f>
        <v>0.1714712193301614</v>
      </c>
      <c r="H60" s="49">
        <f>(H35/0.75)/H28</f>
        <v>0.13086492310706238</v>
      </c>
      <c r="I60" s="48">
        <f>(I35/0.5)/I28</f>
        <v>0.028050896471949104</v>
      </c>
      <c r="J60" s="48">
        <f>((J35)/0.25)/J28</f>
        <v>0.021927757118664782</v>
      </c>
      <c r="K60" s="51">
        <f>K35/K28</f>
        <v>0.07358367318115212</v>
      </c>
      <c r="L60" s="49">
        <f>(L35/0.75)/L28</f>
        <v>0.08994162890914285</v>
      </c>
      <c r="M60" s="49">
        <f>(M35/0.5)/M28</f>
        <v>0.1564383268551867</v>
      </c>
      <c r="N60" s="42">
        <f>((N35)/0.25)/N28</f>
        <v>0.15890698896479244</v>
      </c>
      <c r="O60" s="48">
        <f>O35/O28</f>
        <v>0.15367849327228145</v>
      </c>
      <c r="P60" s="48">
        <f>P35/P27</f>
        <v>0.11735716258222578</v>
      </c>
    </row>
    <row r="61" spans="1:16" ht="11.25">
      <c r="A61" s="5" t="s">
        <v>55</v>
      </c>
      <c r="B61" s="7"/>
      <c r="C61" s="49">
        <f>C38/C37</f>
        <v>0.844574780058651</v>
      </c>
      <c r="D61" s="42">
        <f>(D38/0.75)/(D37/0.75)</f>
        <v>0.8608108108108109</v>
      </c>
      <c r="E61" s="42">
        <f>(E38/0.5)/(E37/0.5)</f>
        <v>0.9035639412997903</v>
      </c>
      <c r="F61" s="43">
        <f>(F38/0.25)/(F37/0.25)</f>
        <v>0.9818181818181818</v>
      </c>
      <c r="G61" s="49">
        <f>G38/G37</f>
        <v>0.9065520945220193</v>
      </c>
      <c r="H61" s="49">
        <f>(H38/0.75)/(H37/0.75)</f>
        <v>0.947136563876652</v>
      </c>
      <c r="I61" s="48">
        <f>(I38/0.5)/(I37/0.5)</f>
        <v>1.1134020618556701</v>
      </c>
      <c r="J61" s="48">
        <f>(J38/0.25)/(J37/0.25)</f>
        <v>1.3630573248407643</v>
      </c>
      <c r="K61" s="51">
        <f>K38/K37</f>
        <v>0.41678657074340525</v>
      </c>
      <c r="L61" s="49">
        <f>(L38/0.75)/(L37/0.75)</f>
        <v>0.34007257646448935</v>
      </c>
      <c r="M61" s="49">
        <f>(M38/0.5)/(M37/0.5)</f>
        <v>0.09731084776663627</v>
      </c>
      <c r="N61" s="42">
        <f>(N38/0.25)/(N37/0.25)</f>
        <v>0.09656084656084656</v>
      </c>
      <c r="O61" s="48">
        <f>O38/O37</f>
        <v>0.10682559316316204</v>
      </c>
      <c r="P61" s="48">
        <f>P38/P37</f>
        <v>0.59148987463838</v>
      </c>
    </row>
    <row r="62" spans="1:16" ht="11.25">
      <c r="A62" s="6" t="s">
        <v>56</v>
      </c>
      <c r="B62" s="6"/>
      <c r="C62" s="52">
        <f>C36/C28</f>
        <v>0.0002882259691598213</v>
      </c>
      <c r="D62" s="45">
        <f>(D36/0.75)/D28</f>
        <v>9.161913923818685E-05</v>
      </c>
      <c r="E62" s="45">
        <f>(E36/0.5)/E28</f>
        <v>0.00025701985478378205</v>
      </c>
      <c r="F62" s="46">
        <f>(F36/0.25)/F28</f>
        <v>0.000521614396557345</v>
      </c>
      <c r="G62" s="52">
        <f>G36/G28</f>
        <v>0.002239014833473272</v>
      </c>
      <c r="H62" s="52">
        <f>(H36/0.75)/H28</f>
        <v>0.002546772455676364</v>
      </c>
      <c r="I62" s="45">
        <f>(I36/0.5)/I28</f>
        <v>7.229612492770387E-05</v>
      </c>
      <c r="J62" s="45">
        <f>(J36/0.25)/J28</f>
        <v>0</v>
      </c>
      <c r="K62" s="53">
        <f>K36/K28</f>
        <v>3.53088642903801E-05</v>
      </c>
      <c r="L62" s="52">
        <f>(L36/0.75)/L28</f>
        <v>4.6650222463248366E-05</v>
      </c>
      <c r="M62" s="52">
        <f>(M36/0.5)/M28</f>
        <v>3.565952287558393E-05</v>
      </c>
      <c r="N62" s="45">
        <f>(N36/0.25)/N28</f>
        <v>0</v>
      </c>
      <c r="O62" s="45">
        <f>O36/O28</f>
        <v>0.0026365977342836804</v>
      </c>
      <c r="P62" s="45">
        <f>P36/P27</f>
        <v>0.0001274543819524595</v>
      </c>
    </row>
    <row r="63" spans="1:14" ht="11.25">
      <c r="A63" s="15" t="s">
        <v>57</v>
      </c>
      <c r="E63" s="8"/>
      <c r="F63" s="32"/>
      <c r="I63" s="7"/>
      <c r="J63" s="32"/>
      <c r="K63" s="35"/>
      <c r="L63" s="7"/>
      <c r="M63" s="7"/>
      <c r="N63" s="7"/>
    </row>
    <row r="64" spans="1:16" ht="11.25">
      <c r="A64" s="5" t="s">
        <v>58</v>
      </c>
      <c r="C64" s="5">
        <v>22</v>
      </c>
      <c r="D64" s="23">
        <v>21</v>
      </c>
      <c r="E64" s="8">
        <v>21</v>
      </c>
      <c r="F64" s="24">
        <v>21</v>
      </c>
      <c r="G64" s="23">
        <v>21</v>
      </c>
      <c r="H64" s="23">
        <v>21</v>
      </c>
      <c r="I64" s="54">
        <v>22</v>
      </c>
      <c r="J64" s="32">
        <v>22</v>
      </c>
      <c r="K64" s="25">
        <v>22</v>
      </c>
      <c r="L64" s="8">
        <v>21</v>
      </c>
      <c r="M64" s="8">
        <v>21</v>
      </c>
      <c r="N64" s="8">
        <v>20</v>
      </c>
      <c r="O64" s="23">
        <v>20</v>
      </c>
      <c r="P64" s="55">
        <v>20</v>
      </c>
    </row>
    <row r="65" spans="1:16" ht="11.25">
      <c r="A65" s="5" t="s">
        <v>59</v>
      </c>
      <c r="C65" s="5">
        <v>1</v>
      </c>
      <c r="D65" s="23">
        <v>1</v>
      </c>
      <c r="E65" s="8">
        <v>1</v>
      </c>
      <c r="F65" s="24">
        <v>1</v>
      </c>
      <c r="G65" s="23">
        <v>1</v>
      </c>
      <c r="H65" s="23">
        <v>1</v>
      </c>
      <c r="I65" s="8">
        <v>1</v>
      </c>
      <c r="J65" s="32">
        <v>1</v>
      </c>
      <c r="K65" s="25">
        <v>1</v>
      </c>
      <c r="L65" s="8">
        <v>1</v>
      </c>
      <c r="M65" s="8">
        <v>1</v>
      </c>
      <c r="N65" s="8">
        <v>1</v>
      </c>
      <c r="O65" s="23">
        <v>1</v>
      </c>
      <c r="P65" s="23">
        <v>1</v>
      </c>
    </row>
    <row r="66" spans="1:16" ht="11.25">
      <c r="A66" s="5" t="s">
        <v>60</v>
      </c>
      <c r="C66" s="8">
        <f aca="true" t="shared" si="20" ref="C66:P66">C12/C64</f>
        <v>774.4090909090909</v>
      </c>
      <c r="D66" s="8">
        <f t="shared" si="20"/>
        <v>737.8095238095239</v>
      </c>
      <c r="E66" s="8">
        <f t="shared" si="20"/>
        <v>741.0952380952381</v>
      </c>
      <c r="F66" s="24">
        <f t="shared" si="20"/>
        <v>730.3333333333334</v>
      </c>
      <c r="G66" s="8">
        <f t="shared" si="20"/>
        <v>510.42857142857144</v>
      </c>
      <c r="H66" s="8">
        <f t="shared" si="20"/>
        <v>648.1904761904761</v>
      </c>
      <c r="I66" s="8">
        <f t="shared" si="20"/>
        <v>0</v>
      </c>
      <c r="J66" s="24">
        <f t="shared" si="20"/>
        <v>0</v>
      </c>
      <c r="K66" s="8">
        <f t="shared" si="20"/>
        <v>0</v>
      </c>
      <c r="L66" s="8">
        <f t="shared" si="20"/>
        <v>0</v>
      </c>
      <c r="M66" s="8">
        <f t="shared" si="20"/>
        <v>2634.6666666666665</v>
      </c>
      <c r="N66" s="8">
        <f t="shared" si="20"/>
        <v>2863.95</v>
      </c>
      <c r="O66" s="23">
        <f t="shared" si="20"/>
        <v>2832.15</v>
      </c>
      <c r="P66" s="23">
        <f t="shared" si="20"/>
        <v>2857</v>
      </c>
    </row>
    <row r="67" spans="1:16" ht="11.25">
      <c r="A67" s="5" t="s">
        <v>61</v>
      </c>
      <c r="C67" s="8">
        <f aca="true" t="shared" si="21" ref="C67:P67">+C16/C64</f>
        <v>640.1363636363636</v>
      </c>
      <c r="D67" s="8">
        <f t="shared" si="21"/>
        <v>606.4761904761905</v>
      </c>
      <c r="E67" s="8">
        <f t="shared" si="21"/>
        <v>603.6190476190476</v>
      </c>
      <c r="F67" s="24">
        <f t="shared" si="21"/>
        <v>599.5714285714286</v>
      </c>
      <c r="G67" s="8">
        <f t="shared" si="21"/>
        <v>391.14285714285717</v>
      </c>
      <c r="H67" s="8">
        <f t="shared" si="21"/>
        <v>533.6190476190476</v>
      </c>
      <c r="I67" s="8">
        <f t="shared" si="21"/>
        <v>613.5</v>
      </c>
      <c r="J67" s="24">
        <f t="shared" si="21"/>
        <v>822.9545454545455</v>
      </c>
      <c r="K67" s="25">
        <f t="shared" si="21"/>
        <v>753.3181818181819</v>
      </c>
      <c r="L67" s="8">
        <f t="shared" si="21"/>
        <v>799.8571428571429</v>
      </c>
      <c r="M67" s="8">
        <f t="shared" si="21"/>
        <v>3422.4285714285716</v>
      </c>
      <c r="N67" s="8">
        <f t="shared" si="21"/>
        <v>3725.3</v>
      </c>
      <c r="O67" s="23">
        <f t="shared" si="21"/>
        <v>3392.3</v>
      </c>
      <c r="P67" s="23">
        <f t="shared" si="21"/>
        <v>3558.55</v>
      </c>
    </row>
    <row r="68" spans="1:20" ht="11.25">
      <c r="A68" s="6" t="s">
        <v>62</v>
      </c>
      <c r="B68" s="6"/>
      <c r="C68" s="29">
        <f aca="true" t="shared" si="22" ref="C68:P68">+C40/C64</f>
        <v>7.2272727272727275</v>
      </c>
      <c r="D68" s="29">
        <f t="shared" si="22"/>
        <v>4.904761904761905</v>
      </c>
      <c r="E68" s="29">
        <f t="shared" si="22"/>
        <v>2.1904761904761907</v>
      </c>
      <c r="F68" s="30">
        <f t="shared" si="22"/>
        <v>0.19047619047619047</v>
      </c>
      <c r="G68" s="29">
        <f t="shared" si="22"/>
        <v>4.142857142857143</v>
      </c>
      <c r="H68" s="29">
        <f t="shared" si="22"/>
        <v>1.7142857142857142</v>
      </c>
      <c r="I68" s="29">
        <f t="shared" si="22"/>
        <v>-2</v>
      </c>
      <c r="J68" s="30">
        <f t="shared" si="22"/>
        <v>-2.590909090909091</v>
      </c>
      <c r="K68" s="31">
        <f t="shared" si="22"/>
        <v>55.27272727272727</v>
      </c>
      <c r="L68" s="29">
        <f t="shared" si="22"/>
        <v>60.61904761904762</v>
      </c>
      <c r="M68" s="29">
        <f t="shared" si="22"/>
        <v>188.61904761904762</v>
      </c>
      <c r="N68" s="29">
        <f t="shared" si="22"/>
        <v>102.45</v>
      </c>
      <c r="O68" s="29">
        <f t="shared" si="22"/>
        <v>397.15</v>
      </c>
      <c r="P68" s="29">
        <f t="shared" si="22"/>
        <v>169.45</v>
      </c>
      <c r="Q68" s="56"/>
      <c r="R68" s="56"/>
      <c r="S68" s="56"/>
      <c r="T68" s="3"/>
    </row>
    <row r="69" spans="1:20" ht="11.25">
      <c r="A69" s="15" t="s">
        <v>63</v>
      </c>
      <c r="E69" s="8"/>
      <c r="F69" s="32"/>
      <c r="I69" s="7"/>
      <c r="J69" s="32"/>
      <c r="K69" s="35"/>
      <c r="L69" s="7"/>
      <c r="M69" s="7"/>
      <c r="N69" s="7"/>
      <c r="Q69" s="7"/>
      <c r="R69" s="7"/>
      <c r="S69" s="7"/>
      <c r="T69" s="4"/>
    </row>
    <row r="70" spans="1:16" ht="11.25">
      <c r="A70" s="5" t="s">
        <v>64</v>
      </c>
      <c r="C70" s="42">
        <f aca="true" t="shared" si="23" ref="C70:I70">(C10/G10)-1</f>
        <v>0.5052314388549426</v>
      </c>
      <c r="D70" s="42">
        <f t="shared" si="23"/>
        <v>0.1110812986316072</v>
      </c>
      <c r="E70" s="42">
        <f t="shared" si="23"/>
        <v>-0.03870665965035369</v>
      </c>
      <c r="F70" s="43">
        <f t="shared" si="23"/>
        <v>-0.23191619874486857</v>
      </c>
      <c r="G70" s="42">
        <f t="shared" si="23"/>
        <v>-0.4288377874456184</v>
      </c>
      <c r="H70" s="42">
        <f t="shared" si="23"/>
        <v>-0.296493794535416</v>
      </c>
      <c r="I70" s="42">
        <f t="shared" si="23"/>
        <v>-0.7833719648896151</v>
      </c>
      <c r="J70" s="43">
        <f>+(J10/N10)-1</f>
        <v>-0.7339768533627897</v>
      </c>
      <c r="K70" s="44">
        <f>+(K10/O10)-1</f>
        <v>-0.7343434471722317</v>
      </c>
      <c r="L70" s="42">
        <f>+(L10/78703)-1</f>
        <v>-0.7307472396223778</v>
      </c>
      <c r="M70" s="42">
        <f>+(M10/77572)-1</f>
        <v>0.017777032950033522</v>
      </c>
      <c r="N70" s="42">
        <f>+(N10/77846)/-1</f>
        <v>-1.0233794928448474</v>
      </c>
      <c r="O70" s="48">
        <f>+(O10/P10)-1</f>
        <v>0.014233821104699063</v>
      </c>
      <c r="P70" s="48">
        <f>+(P10/63595)-1</f>
        <v>0.22072489975627008</v>
      </c>
    </row>
    <row r="71" spans="1:16" ht="11.25">
      <c r="A71" s="5" t="s">
        <v>65</v>
      </c>
      <c r="C71" s="42">
        <v>0</v>
      </c>
      <c r="D71" s="42">
        <v>0</v>
      </c>
      <c r="E71" s="42">
        <v>0</v>
      </c>
      <c r="F71" s="43">
        <v>0</v>
      </c>
      <c r="G71" s="42">
        <v>0</v>
      </c>
      <c r="H71" s="42">
        <v>0</v>
      </c>
      <c r="I71" s="42">
        <v>0</v>
      </c>
      <c r="J71" s="43">
        <v>0</v>
      </c>
      <c r="K71" s="44">
        <v>0</v>
      </c>
      <c r="L71" s="42">
        <v>0</v>
      </c>
      <c r="M71" s="42">
        <f>SUM(M72:M73)</f>
        <v>-0.026669481387657457</v>
      </c>
      <c r="N71" s="42">
        <f>SUM(N72:N73)</f>
        <v>0.006643116992671505</v>
      </c>
      <c r="O71" s="48">
        <f>SUM(O72:O73)</f>
        <v>-0.008697934896744863</v>
      </c>
      <c r="P71" s="48">
        <f>SUM(P72:P73)</f>
        <v>0</v>
      </c>
    </row>
    <row r="72" spans="2:16" ht="11.25">
      <c r="B72" s="5" t="s">
        <v>16</v>
      </c>
      <c r="C72" s="42">
        <v>0</v>
      </c>
      <c r="D72" s="42">
        <v>0</v>
      </c>
      <c r="E72" s="42">
        <v>0</v>
      </c>
      <c r="F72" s="43">
        <v>0</v>
      </c>
      <c r="G72" s="42">
        <v>0</v>
      </c>
      <c r="H72" s="42">
        <v>0</v>
      </c>
      <c r="I72" s="42">
        <v>0</v>
      </c>
      <c r="J72" s="43">
        <v>0</v>
      </c>
      <c r="K72" s="44">
        <v>0</v>
      </c>
      <c r="L72" s="42">
        <v>0</v>
      </c>
      <c r="M72" s="42">
        <v>0</v>
      </c>
      <c r="N72" s="42">
        <v>0</v>
      </c>
      <c r="O72" s="48">
        <v>0</v>
      </c>
      <c r="P72" s="48">
        <v>0</v>
      </c>
    </row>
    <row r="73" spans="2:16" ht="11.25">
      <c r="B73" s="5" t="s">
        <v>17</v>
      </c>
      <c r="C73" s="49">
        <v>0</v>
      </c>
      <c r="D73" s="49">
        <v>0</v>
      </c>
      <c r="E73" s="49">
        <v>0</v>
      </c>
      <c r="F73" s="57">
        <v>0</v>
      </c>
      <c r="G73" s="49">
        <v>0</v>
      </c>
      <c r="H73" s="49">
        <v>0</v>
      </c>
      <c r="I73" s="49">
        <v>0</v>
      </c>
      <c r="J73" s="57">
        <v>0</v>
      </c>
      <c r="K73" s="51">
        <v>0</v>
      </c>
      <c r="L73" s="49">
        <v>0</v>
      </c>
      <c r="M73" s="42">
        <f>+(M14/56844)-1</f>
        <v>-0.026669481387657457</v>
      </c>
      <c r="N73" s="42">
        <f>+(N14/56901)-1</f>
        <v>0.006643116992671505</v>
      </c>
      <c r="O73" s="48">
        <f>+(O14/P14)-1</f>
        <v>-0.008697934896744863</v>
      </c>
      <c r="P73" s="48">
        <v>0</v>
      </c>
    </row>
    <row r="74" spans="1:29" ht="11.25">
      <c r="A74" s="5" t="s">
        <v>66</v>
      </c>
      <c r="C74" s="42">
        <f aca="true" t="shared" si="24" ref="C74:I74">(C16/G16)-1</f>
        <v>0.7145118091064038</v>
      </c>
      <c r="D74" s="42">
        <f t="shared" si="24"/>
        <v>0.13653399964304835</v>
      </c>
      <c r="E74" s="42">
        <f t="shared" si="24"/>
        <v>-0.060828332221975256</v>
      </c>
      <c r="F74" s="43">
        <f t="shared" si="24"/>
        <v>-0.3045567522783761</v>
      </c>
      <c r="G74" s="42">
        <f t="shared" si="24"/>
        <v>-0.5043745851686479</v>
      </c>
      <c r="H74" s="42">
        <f t="shared" si="24"/>
        <v>-0.33285705780794195</v>
      </c>
      <c r="I74" s="42">
        <f t="shared" si="24"/>
        <v>-0.8122052009850983</v>
      </c>
      <c r="J74" s="43">
        <f aca="true" t="shared" si="25" ref="J74:P74">SUM(J75:J76)</f>
        <v>-0.7569994362870105</v>
      </c>
      <c r="K74" s="44">
        <f t="shared" si="25"/>
        <v>-0.7557262034607788</v>
      </c>
      <c r="L74" s="42">
        <f t="shared" si="25"/>
        <v>-0.7588405048025154</v>
      </c>
      <c r="M74" s="42">
        <f t="shared" si="25"/>
        <v>0.018175893919646358</v>
      </c>
      <c r="N74" s="42">
        <f t="shared" si="25"/>
        <v>0.02316703058267766</v>
      </c>
      <c r="O74" s="48">
        <f t="shared" si="25"/>
        <v>-0.04671846679124925</v>
      </c>
      <c r="P74" s="48">
        <f t="shared" si="25"/>
        <v>0.2282509276037621</v>
      </c>
      <c r="Q74" s="48"/>
      <c r="R74" s="48"/>
      <c r="S74" s="48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16" ht="11.25">
      <c r="B75" s="5" t="s">
        <v>16</v>
      </c>
      <c r="C75" s="42">
        <v>0</v>
      </c>
      <c r="D75" s="42">
        <v>0</v>
      </c>
      <c r="E75" s="42">
        <v>0</v>
      </c>
      <c r="F75" s="43">
        <v>0</v>
      </c>
      <c r="G75" s="42">
        <v>0</v>
      </c>
      <c r="H75" s="42">
        <v>0</v>
      </c>
      <c r="I75" s="42">
        <v>0</v>
      </c>
      <c r="J75" s="43">
        <v>0</v>
      </c>
      <c r="K75" s="44">
        <v>0</v>
      </c>
      <c r="L75" s="42">
        <v>0</v>
      </c>
      <c r="M75" s="42">
        <v>0</v>
      </c>
      <c r="N75" s="42">
        <v>0</v>
      </c>
      <c r="O75" s="48">
        <v>0</v>
      </c>
      <c r="P75" s="48">
        <v>0</v>
      </c>
    </row>
    <row r="76" spans="2:16" ht="11.25">
      <c r="B76" s="5" t="s">
        <v>17</v>
      </c>
      <c r="C76" s="42">
        <f aca="true" t="shared" si="26" ref="C76:I76">(C21/G21)-1</f>
        <v>0.7145118091064038</v>
      </c>
      <c r="D76" s="42">
        <f t="shared" si="26"/>
        <v>0.13653399964304835</v>
      </c>
      <c r="E76" s="42">
        <f t="shared" si="26"/>
        <v>-0.060828332221975256</v>
      </c>
      <c r="F76" s="43">
        <f t="shared" si="26"/>
        <v>-0.3045567522783761</v>
      </c>
      <c r="G76" s="42">
        <f t="shared" si="26"/>
        <v>-0.5043745851686479</v>
      </c>
      <c r="H76" s="42">
        <f t="shared" si="26"/>
        <v>-0.33285705780794195</v>
      </c>
      <c r="I76" s="42">
        <f t="shared" si="26"/>
        <v>-0.8122052009850983</v>
      </c>
      <c r="J76" s="43">
        <f>+(J21/N21)-1</f>
        <v>-0.7569994362870105</v>
      </c>
      <c r="K76" s="44">
        <f>+(K21/O21)-1</f>
        <v>-0.7557262034607788</v>
      </c>
      <c r="L76" s="42">
        <f>+(L21/69651)-1</f>
        <v>-0.7588405048025154</v>
      </c>
      <c r="M76" s="42">
        <f>+(M21/70588)-1</f>
        <v>0.018175893919646358</v>
      </c>
      <c r="N76" s="42">
        <f>+(N21/72819)-1</f>
        <v>0.02316703058267766</v>
      </c>
      <c r="O76" s="48">
        <f>+(O21/P21)-1</f>
        <v>-0.04671846679124925</v>
      </c>
      <c r="P76" s="48">
        <f>+(P21/57945)-1</f>
        <v>0.2282509276037621</v>
      </c>
    </row>
    <row r="77" spans="1:16" ht="11.25">
      <c r="A77" s="5" t="s">
        <v>67</v>
      </c>
      <c r="C77" s="42">
        <f aca="true" t="shared" si="27" ref="C77:I77">(C25/G25)-1</f>
        <v>0.023323615160349753</v>
      </c>
      <c r="D77" s="42">
        <f t="shared" si="27"/>
        <v>0.022405271828665585</v>
      </c>
      <c r="E77" s="42">
        <f t="shared" si="27"/>
        <v>0.030446549391069055</v>
      </c>
      <c r="F77" s="43">
        <f t="shared" si="27"/>
        <v>0.020727149167516057</v>
      </c>
      <c r="G77" s="42">
        <f t="shared" si="27"/>
        <v>-0.2674418604651163</v>
      </c>
      <c r="H77" s="42">
        <f t="shared" si="27"/>
        <v>-0.28972618769014746</v>
      </c>
      <c r="I77" s="42">
        <f t="shared" si="27"/>
        <v>-0.5754703432428551</v>
      </c>
      <c r="J77" s="43">
        <f>+(J25/N25)-1</f>
        <v>-0.41722772277227727</v>
      </c>
      <c r="K77" s="44">
        <f>+(K25/O25)-1</f>
        <v>-0.609634089856415</v>
      </c>
      <c r="L77" s="42">
        <f>+(L25/8840)-1</f>
        <v>-0.516628959276018</v>
      </c>
      <c r="M77" s="42">
        <f>+(M25/6877)-1</f>
        <v>0.012505452959139074</v>
      </c>
      <c r="N77" s="42">
        <f>+(N25/4930)-1</f>
        <v>0.024340770791074995</v>
      </c>
      <c r="O77" s="48">
        <f>+(O25/P25)-1</f>
        <v>0.689622789168884</v>
      </c>
      <c r="P77" s="42">
        <f>(P25/5617)-1</f>
        <v>0.13743991454513083</v>
      </c>
    </row>
    <row r="78" spans="1:16" ht="11.25">
      <c r="A78" s="6" t="s">
        <v>68</v>
      </c>
      <c r="B78" s="6"/>
      <c r="C78" s="45">
        <f aca="true" t="shared" si="28" ref="C78:I78">(C40/G40)-1</f>
        <v>0.8275862068965518</v>
      </c>
      <c r="D78" s="45">
        <f t="shared" si="28"/>
        <v>1.8611111111111112</v>
      </c>
      <c r="E78" s="45">
        <f t="shared" si="28"/>
        <v>-2.0454545454545454</v>
      </c>
      <c r="F78" s="46">
        <f t="shared" si="28"/>
        <v>-1.0701754385964912</v>
      </c>
      <c r="G78" s="45">
        <f t="shared" si="28"/>
        <v>-0.928453947368421</v>
      </c>
      <c r="H78" s="45">
        <f t="shared" si="28"/>
        <v>-0.9717203456402199</v>
      </c>
      <c r="I78" s="45">
        <f t="shared" si="28"/>
        <v>-1.0111083059833375</v>
      </c>
      <c r="J78" s="46">
        <f>+(J40/N40)-1</f>
        <v>-1.027818448023426</v>
      </c>
      <c r="K78" s="47">
        <f>+(K40/O40)-1</f>
        <v>-0.8469092282512904</v>
      </c>
      <c r="L78" s="45">
        <f>+(L40/5989)-1</f>
        <v>-0.7874436466855903</v>
      </c>
      <c r="M78" s="45">
        <f>+(M40/4024)-1</f>
        <v>-0.015656063618290306</v>
      </c>
      <c r="N78" s="45">
        <f>+(N40/1930)-1</f>
        <v>0.06165803108808299</v>
      </c>
      <c r="O78" s="45">
        <f>+(O40/P40)-1</f>
        <v>1.3437592210091474</v>
      </c>
      <c r="P78" s="45">
        <f>(P40/5617)-1</f>
        <v>-0.3966530176250668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2017-06-16T16:11:45Z</dcterms:created>
  <dcterms:modified xsi:type="dcterms:W3CDTF">2017-06-16T16:11:47Z</dcterms:modified>
  <cp:category/>
  <cp:version/>
  <cp:contentType/>
  <cp:contentStatus/>
</cp:coreProperties>
</file>