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Popular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<sst xmlns="http://schemas.openxmlformats.org/spreadsheetml/2006/main" count="89" uniqueCount="68">
  <si>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19-18</t>
  </si>
  <si>
    <t>POPULAR BANK &amp; TRUST LTD</t>
  </si>
  <si>
    <t>ESTADISTICA FINANCIERA. TRIMESTRES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</si>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</sst>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2" fillId="0" borderId="0" xfId="46" applyNumberFormat="1" applyFont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7" xfId="46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7" xfId="46" applyFont="1" applyBorder="1" applyAlignment="1">
      <alignment/>
    </xf>
    <xf numFmtId="43" fontId="3" fillId="0" borderId="0" xfId="46" applyFont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3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7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5" xfId="0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0" xfId="52" applyNumberFormat="1" applyFont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" sqref="G13"/>
    </sheetView>
  </sheetViews>
  <sheetFormatPr defaultColWidth="11.421875" defaultRowHeight="12.75"/>
  <cols>
    <col min="1" max="1" width="3.57421875" style="2" customWidth="1"/>
    <col min="2" max="2" width="28.28125" style="2" customWidth="1"/>
    <col min="3" max="3" width="8.57421875" style="2" customWidth="1"/>
    <col min="4" max="4" width="7.8515625" style="2" customWidth="1"/>
    <col min="5" max="5" width="7.421875" style="2" customWidth="1"/>
    <col min="6" max="6" width="7.7109375" style="2" customWidth="1"/>
    <col min="7" max="7" width="8.140625" style="2" customWidth="1"/>
    <col min="8" max="8" width="7.7109375" style="2" bestFit="1" customWidth="1"/>
    <col min="9" max="9" width="7.57421875" style="2" customWidth="1"/>
    <col min="10" max="11" width="8.140625" style="2" customWidth="1"/>
    <col min="12" max="12" width="7.7109375" style="2" bestFit="1" customWidth="1"/>
    <col min="13" max="13" width="9.57421875" style="2" customWidth="1"/>
    <col min="14" max="14" width="8.00390625" style="2" customWidth="1"/>
    <col min="15" max="15" width="6.57421875" style="2" hidden="1" customWidth="1"/>
    <col min="16" max="16" width="7.28125" style="2" hidden="1" customWidth="1"/>
    <col min="17" max="17" width="11.421875" style="2" customWidth="1"/>
    <col min="18" max="16384" width="11.421875" style="1" customWidth="1"/>
  </cols>
  <sheetData>
    <row r="1" spans="2:16" ht="11.25">
      <c r="B1" s="49"/>
      <c r="C1" s="49"/>
      <c r="D1" s="49"/>
      <c r="E1" s="49"/>
      <c r="F1" s="49"/>
      <c r="G1" s="49"/>
      <c r="H1" s="49" t="s">
        <v>0</v>
      </c>
      <c r="I1" s="49"/>
      <c r="J1" s="49"/>
      <c r="K1" s="49"/>
      <c r="L1" s="49"/>
      <c r="M1" s="49"/>
      <c r="N1" s="49"/>
      <c r="O1" s="49"/>
      <c r="P1" s="49"/>
    </row>
    <row r="2" spans="2:16" ht="11.25">
      <c r="B2" s="49"/>
      <c r="C2" s="49"/>
      <c r="D2" s="49"/>
      <c r="E2" s="49"/>
      <c r="F2" s="49"/>
      <c r="G2" s="49"/>
      <c r="H2" s="49" t="s">
        <v>1</v>
      </c>
      <c r="I2" s="49"/>
      <c r="J2" s="49"/>
      <c r="K2" s="49"/>
      <c r="L2" s="49"/>
      <c r="M2" s="49"/>
      <c r="N2" s="49"/>
      <c r="O2" s="49"/>
      <c r="P2" s="49"/>
    </row>
    <row r="3" spans="2:16" ht="11.25">
      <c r="B3" s="49"/>
      <c r="C3" s="49"/>
      <c r="D3" s="49"/>
      <c r="E3" s="49"/>
      <c r="F3" s="49"/>
      <c r="G3" s="49"/>
      <c r="H3" s="49" t="s">
        <v>2</v>
      </c>
      <c r="I3" s="49"/>
      <c r="J3" s="49"/>
      <c r="K3" s="49"/>
      <c r="L3" s="49"/>
      <c r="M3" s="49"/>
      <c r="N3" s="49"/>
      <c r="O3" s="49"/>
      <c r="P3" s="49"/>
    </row>
    <row r="4" spans="1:16" ht="11.25">
      <c r="A4" s="1"/>
      <c r="B4" s="48"/>
      <c r="C4" s="48"/>
      <c r="D4" s="48"/>
      <c r="E4" s="48"/>
      <c r="F4" s="48"/>
      <c r="G4" s="48"/>
      <c r="H4" s="48" t="s">
        <v>3</v>
      </c>
      <c r="I4" s="48"/>
      <c r="J4" s="48"/>
      <c r="K4" s="48"/>
      <c r="L4" s="48"/>
      <c r="M4" s="48"/>
      <c r="N4" s="48"/>
      <c r="O4" s="48"/>
      <c r="P4" s="48"/>
    </row>
    <row r="5" spans="1:16" ht="11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1">
        <v>2002</v>
      </c>
      <c r="D7" s="51"/>
      <c r="E7" s="51"/>
      <c r="F7" s="52"/>
      <c r="G7" s="51">
        <v>2001</v>
      </c>
      <c r="H7" s="51"/>
      <c r="I7" s="51"/>
      <c r="J7" s="51"/>
      <c r="K7" s="50">
        <v>2000</v>
      </c>
      <c r="L7" s="51"/>
      <c r="M7" s="51"/>
      <c r="N7" s="51"/>
      <c r="O7" s="51" t="s">
        <v>4</v>
      </c>
      <c r="P7" s="51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3"/>
      <c r="G9" s="11"/>
      <c r="H9" s="11"/>
      <c r="I9" s="11"/>
      <c r="J9" s="11"/>
      <c r="K9" s="14"/>
      <c r="L9" s="15"/>
      <c r="M9" s="15"/>
      <c r="N9" s="15"/>
      <c r="O9" s="16"/>
      <c r="P9" s="16"/>
    </row>
    <row r="10" spans="1:16" ht="11.25">
      <c r="A10" s="2" t="s">
        <v>12</v>
      </c>
      <c r="C10" s="17">
        <v>472842</v>
      </c>
      <c r="D10" s="17">
        <v>611900</v>
      </c>
      <c r="E10" s="18">
        <v>573654</v>
      </c>
      <c r="F10" s="19">
        <v>559124</v>
      </c>
      <c r="G10" s="17">
        <v>508709</v>
      </c>
      <c r="H10" s="17">
        <v>482624</v>
      </c>
      <c r="I10" s="17">
        <v>458296</v>
      </c>
      <c r="J10" s="20">
        <v>423855</v>
      </c>
      <c r="K10" s="21">
        <v>344372</v>
      </c>
      <c r="L10" s="18">
        <v>259439</v>
      </c>
      <c r="M10" s="18">
        <v>244524</v>
      </c>
      <c r="N10" s="18">
        <v>225605</v>
      </c>
      <c r="O10" s="17">
        <v>195721</v>
      </c>
      <c r="P10" s="17">
        <v>176929</v>
      </c>
    </row>
    <row r="11" spans="1:16" ht="11.25">
      <c r="A11" s="2" t="s">
        <v>13</v>
      </c>
      <c r="C11" s="17">
        <v>156625</v>
      </c>
      <c r="D11" s="17">
        <v>135004</v>
      </c>
      <c r="E11" s="18">
        <v>182217</v>
      </c>
      <c r="F11" s="19">
        <v>219053</v>
      </c>
      <c r="G11" s="17">
        <v>170800</v>
      </c>
      <c r="H11" s="17">
        <v>137005</v>
      </c>
      <c r="I11" s="17">
        <v>77499</v>
      </c>
      <c r="J11" s="20">
        <v>36874</v>
      </c>
      <c r="K11" s="21">
        <v>28255</v>
      </c>
      <c r="L11" s="18">
        <v>15428</v>
      </c>
      <c r="M11" s="18">
        <v>35819</v>
      </c>
      <c r="N11" s="18">
        <v>26854</v>
      </c>
      <c r="O11" s="17">
        <v>20615</v>
      </c>
      <c r="P11" s="17">
        <v>23580</v>
      </c>
    </row>
    <row r="12" spans="1:16" ht="11.25">
      <c r="A12" s="2" t="s">
        <v>14</v>
      </c>
      <c r="C12" s="18">
        <f aca="true" t="shared" si="0" ref="C12:P12">C13+C14</f>
        <v>285519</v>
      </c>
      <c r="D12" s="18">
        <f t="shared" si="0"/>
        <v>334969</v>
      </c>
      <c r="E12" s="18">
        <f t="shared" si="0"/>
        <v>249681</v>
      </c>
      <c r="F12" s="19">
        <f t="shared" si="0"/>
        <v>264148</v>
      </c>
      <c r="G12" s="17">
        <f t="shared" si="0"/>
        <v>303863</v>
      </c>
      <c r="H12" s="17">
        <f t="shared" si="0"/>
        <v>323081</v>
      </c>
      <c r="I12" s="17">
        <f t="shared" si="0"/>
        <v>358918</v>
      </c>
      <c r="J12" s="17">
        <f t="shared" si="0"/>
        <v>375924</v>
      </c>
      <c r="K12" s="21">
        <f t="shared" si="0"/>
        <v>306397</v>
      </c>
      <c r="L12" s="18">
        <f t="shared" si="0"/>
        <v>229488</v>
      </c>
      <c r="M12" s="18">
        <f t="shared" si="0"/>
        <v>199592</v>
      </c>
      <c r="N12" s="18">
        <f t="shared" si="0"/>
        <v>187698</v>
      </c>
      <c r="O12" s="17">
        <f t="shared" si="0"/>
        <v>165817</v>
      </c>
      <c r="P12" s="17">
        <f t="shared" si="0"/>
        <v>144957</v>
      </c>
    </row>
    <row r="13" spans="2:16" ht="11.25">
      <c r="B13" s="2" t="s">
        <v>15</v>
      </c>
      <c r="C13" s="22">
        <v>0</v>
      </c>
      <c r="D13" s="22">
        <v>0</v>
      </c>
      <c r="E13" s="22">
        <v>0</v>
      </c>
      <c r="F13" s="23">
        <v>0</v>
      </c>
      <c r="G13" s="24">
        <v>0</v>
      </c>
      <c r="H13" s="17">
        <v>0</v>
      </c>
      <c r="I13" s="17">
        <v>0</v>
      </c>
      <c r="J13" s="24">
        <v>0</v>
      </c>
      <c r="K13" s="21">
        <v>0</v>
      </c>
      <c r="L13" s="18">
        <v>0</v>
      </c>
      <c r="M13" s="18">
        <v>0</v>
      </c>
      <c r="N13" s="18">
        <v>0</v>
      </c>
      <c r="O13" s="17">
        <v>0</v>
      </c>
      <c r="P13" s="17">
        <v>0</v>
      </c>
    </row>
    <row r="14" spans="2:16" ht="11.25">
      <c r="B14" s="2" t="s">
        <v>16</v>
      </c>
      <c r="C14" s="17">
        <v>285519</v>
      </c>
      <c r="D14" s="17">
        <v>334969</v>
      </c>
      <c r="E14" s="18">
        <v>249681</v>
      </c>
      <c r="F14" s="19">
        <v>264148</v>
      </c>
      <c r="G14" s="17">
        <v>303863</v>
      </c>
      <c r="H14" s="17">
        <v>323081</v>
      </c>
      <c r="I14" s="17">
        <v>358918</v>
      </c>
      <c r="J14" s="20">
        <v>375924</v>
      </c>
      <c r="K14" s="21">
        <v>306397</v>
      </c>
      <c r="L14" s="18">
        <v>229488</v>
      </c>
      <c r="M14" s="18">
        <v>199592</v>
      </c>
      <c r="N14" s="18">
        <v>187698</v>
      </c>
      <c r="O14" s="17">
        <v>165817</v>
      </c>
      <c r="P14" s="17">
        <v>144957</v>
      </c>
    </row>
    <row r="15" spans="1:16" ht="11.25">
      <c r="A15" s="2" t="s">
        <v>17</v>
      </c>
      <c r="C15" s="17">
        <v>22690</v>
      </c>
      <c r="D15" s="17">
        <v>78685</v>
      </c>
      <c r="E15" s="18">
        <v>78895</v>
      </c>
      <c r="F15" s="19">
        <v>28892</v>
      </c>
      <c r="G15" s="2">
        <v>778</v>
      </c>
      <c r="H15" s="17">
        <v>6263</v>
      </c>
      <c r="I15" s="17">
        <v>8974</v>
      </c>
      <c r="J15" s="20">
        <v>1249</v>
      </c>
      <c r="K15" s="21">
        <v>1244</v>
      </c>
      <c r="L15" s="18">
        <v>1069</v>
      </c>
      <c r="M15" s="18">
        <v>1656</v>
      </c>
      <c r="N15" s="18">
        <v>1666</v>
      </c>
      <c r="O15" s="17">
        <v>1661</v>
      </c>
      <c r="P15" s="17">
        <v>5727</v>
      </c>
    </row>
    <row r="16" spans="1:16" ht="11.25">
      <c r="A16" s="2" t="s">
        <v>18</v>
      </c>
      <c r="C16" s="18">
        <f aca="true" t="shared" si="1" ref="C16:P16">C17+C21</f>
        <v>315057</v>
      </c>
      <c r="D16" s="18">
        <f t="shared" si="1"/>
        <v>379480</v>
      </c>
      <c r="E16" s="18">
        <f t="shared" si="1"/>
        <v>358520</v>
      </c>
      <c r="F16" s="19">
        <f t="shared" si="1"/>
        <v>398937</v>
      </c>
      <c r="G16" s="17">
        <f t="shared" si="1"/>
        <v>389596</v>
      </c>
      <c r="H16" s="17">
        <f t="shared" si="1"/>
        <v>388030</v>
      </c>
      <c r="I16" s="17">
        <f t="shared" si="1"/>
        <v>362093</v>
      </c>
      <c r="J16" s="17">
        <f t="shared" si="1"/>
        <v>354838</v>
      </c>
      <c r="K16" s="21">
        <f t="shared" si="1"/>
        <v>272855</v>
      </c>
      <c r="L16" s="18">
        <f t="shared" si="1"/>
        <v>205326</v>
      </c>
      <c r="M16" s="18">
        <f t="shared" si="1"/>
        <v>181877</v>
      </c>
      <c r="N16" s="18">
        <f t="shared" si="1"/>
        <v>166965</v>
      </c>
      <c r="O16" s="17">
        <f t="shared" si="1"/>
        <v>147494</v>
      </c>
      <c r="P16" s="17">
        <f t="shared" si="1"/>
        <v>129652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9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21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7">
        <f t="shared" si="2"/>
        <v>0</v>
      </c>
      <c r="P17" s="17">
        <f t="shared" si="2"/>
        <v>0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9">
        <v>0</v>
      </c>
      <c r="G18" s="17">
        <v>0</v>
      </c>
      <c r="H18" s="17">
        <v>0</v>
      </c>
      <c r="I18" s="17">
        <v>0</v>
      </c>
      <c r="J18" s="17">
        <v>0</v>
      </c>
      <c r="K18" s="21">
        <v>0</v>
      </c>
      <c r="L18" s="18">
        <v>0</v>
      </c>
      <c r="M18" s="18">
        <v>0</v>
      </c>
      <c r="N18" s="18"/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9">
        <v>0</v>
      </c>
      <c r="G19" s="17">
        <v>0</v>
      </c>
      <c r="H19" s="17">
        <v>0</v>
      </c>
      <c r="I19" s="17">
        <v>0</v>
      </c>
      <c r="J19" s="17">
        <v>0</v>
      </c>
      <c r="K19" s="21">
        <v>0</v>
      </c>
      <c r="L19" s="18">
        <v>0</v>
      </c>
      <c r="M19" s="18">
        <v>0</v>
      </c>
      <c r="N19" s="18">
        <v>0</v>
      </c>
      <c r="O19" s="17">
        <v>0</v>
      </c>
      <c r="P19" s="17">
        <v>0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9">
        <v>0</v>
      </c>
      <c r="G20" s="17">
        <v>0</v>
      </c>
      <c r="H20" s="17">
        <v>0</v>
      </c>
      <c r="I20" s="17">
        <v>0</v>
      </c>
      <c r="J20" s="17">
        <v>0</v>
      </c>
      <c r="K20" s="21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SUM(C22:C24)</f>
        <v>315057</v>
      </c>
      <c r="D21" s="18">
        <f>SUM(D22:D24)</f>
        <v>379480</v>
      </c>
      <c r="E21" s="18">
        <f>SUM(E22:E24)</f>
        <v>358520</v>
      </c>
      <c r="F21" s="19">
        <f>SUM(F22:F24)</f>
        <v>398937</v>
      </c>
      <c r="G21" s="17">
        <f aca="true" t="shared" si="3" ref="G21:P21">SUM(G23:G24)</f>
        <v>389596</v>
      </c>
      <c r="H21" s="17">
        <f t="shared" si="3"/>
        <v>388030</v>
      </c>
      <c r="I21" s="17">
        <f t="shared" si="3"/>
        <v>362093</v>
      </c>
      <c r="J21" s="17">
        <f t="shared" si="3"/>
        <v>354838</v>
      </c>
      <c r="K21" s="21">
        <f t="shared" si="3"/>
        <v>272855</v>
      </c>
      <c r="L21" s="18">
        <f t="shared" si="3"/>
        <v>205326</v>
      </c>
      <c r="M21" s="18">
        <f t="shared" si="3"/>
        <v>181877</v>
      </c>
      <c r="N21" s="18">
        <f t="shared" si="3"/>
        <v>166965</v>
      </c>
      <c r="O21" s="17">
        <f t="shared" si="3"/>
        <v>147494</v>
      </c>
      <c r="P21" s="17">
        <f t="shared" si="3"/>
        <v>129652</v>
      </c>
    </row>
    <row r="22" spans="2:16" ht="11.25">
      <c r="B22" s="2" t="s">
        <v>19</v>
      </c>
      <c r="C22" s="18">
        <v>0</v>
      </c>
      <c r="D22" s="18">
        <v>0</v>
      </c>
      <c r="E22" s="18">
        <v>0</v>
      </c>
      <c r="F22" s="19">
        <v>0</v>
      </c>
      <c r="G22" s="17"/>
      <c r="H22" s="17"/>
      <c r="I22" s="17"/>
      <c r="J22" s="17"/>
      <c r="K22" s="21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288093</v>
      </c>
      <c r="D23" s="17">
        <v>343628</v>
      </c>
      <c r="E23" s="18">
        <v>327052</v>
      </c>
      <c r="F23" s="19">
        <v>319056</v>
      </c>
      <c r="G23" s="17">
        <f>33285+308501</f>
        <v>341786</v>
      </c>
      <c r="H23" s="17">
        <f>37763+295871</f>
        <v>333634</v>
      </c>
      <c r="I23" s="17">
        <v>300568</v>
      </c>
      <c r="J23" s="20">
        <v>296999</v>
      </c>
      <c r="K23" s="21">
        <f>24774+200552</f>
        <v>225326</v>
      </c>
      <c r="L23" s="18">
        <v>180619</v>
      </c>
      <c r="M23" s="18">
        <v>155911</v>
      </c>
      <c r="N23" s="18">
        <v>141056</v>
      </c>
      <c r="O23" s="17">
        <v>135430</v>
      </c>
      <c r="P23" s="17">
        <v>118566</v>
      </c>
    </row>
    <row r="24" spans="2:16" ht="11.25">
      <c r="B24" s="2" t="s">
        <v>21</v>
      </c>
      <c r="C24" s="17">
        <v>26964</v>
      </c>
      <c r="D24" s="17">
        <v>35852</v>
      </c>
      <c r="E24" s="18">
        <v>31468</v>
      </c>
      <c r="F24" s="19">
        <v>79881</v>
      </c>
      <c r="G24" s="17">
        <f>18490+29320</f>
        <v>47810</v>
      </c>
      <c r="H24" s="17">
        <f>20076+34320</f>
        <v>54396</v>
      </c>
      <c r="I24" s="17">
        <v>61525</v>
      </c>
      <c r="J24" s="20">
        <v>57839</v>
      </c>
      <c r="K24" s="21">
        <f>41709+5820</f>
        <v>47529</v>
      </c>
      <c r="L24" s="18">
        <v>24707</v>
      </c>
      <c r="M24" s="18">
        <v>25966</v>
      </c>
      <c r="N24" s="18">
        <v>25909</v>
      </c>
      <c r="O24" s="17">
        <v>12064</v>
      </c>
      <c r="P24" s="17">
        <v>11086</v>
      </c>
    </row>
    <row r="25" spans="1:16" ht="11.25">
      <c r="A25" s="3" t="s">
        <v>22</v>
      </c>
      <c r="B25" s="3"/>
      <c r="C25" s="25">
        <v>31034</v>
      </c>
      <c r="D25" s="25">
        <v>30288</v>
      </c>
      <c r="E25" s="25">
        <v>28266</v>
      </c>
      <c r="F25" s="26">
        <v>26616</v>
      </c>
      <c r="G25" s="25">
        <v>24873</v>
      </c>
      <c r="H25" s="25">
        <v>22399</v>
      </c>
      <c r="I25" s="25">
        <v>20099</v>
      </c>
      <c r="J25" s="3">
        <v>22643</v>
      </c>
      <c r="K25" s="27">
        <v>20816</v>
      </c>
      <c r="L25" s="25">
        <v>14066</v>
      </c>
      <c r="M25" s="25">
        <v>15043</v>
      </c>
      <c r="N25" s="25">
        <v>13585</v>
      </c>
      <c r="O25" s="25">
        <v>12357</v>
      </c>
      <c r="P25" s="25">
        <v>10019</v>
      </c>
    </row>
    <row r="26" spans="1:16" ht="11.25">
      <c r="A26" s="11" t="s">
        <v>23</v>
      </c>
      <c r="C26" s="5"/>
      <c r="E26" s="18"/>
      <c r="F26" s="28"/>
      <c r="K26" s="21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490775.5</v>
      </c>
      <c r="D27" s="18">
        <f t="shared" si="4"/>
        <v>547262</v>
      </c>
      <c r="E27" s="18">
        <f t="shared" si="4"/>
        <v>515975</v>
      </c>
      <c r="F27" s="19">
        <f t="shared" si="4"/>
        <v>491489.5</v>
      </c>
      <c r="G27" s="17">
        <f t="shared" si="4"/>
        <v>426540.5</v>
      </c>
      <c r="H27" s="17">
        <f t="shared" si="4"/>
        <v>371031.5</v>
      </c>
      <c r="I27" s="17">
        <f t="shared" si="4"/>
        <v>351410</v>
      </c>
      <c r="J27" s="17">
        <f>+(J10+N10)/2</f>
        <v>324730</v>
      </c>
      <c r="K27" s="21">
        <f>+(K10+O10)/2</f>
        <v>270046.5</v>
      </c>
      <c r="L27" s="18">
        <f>+(173128+L10)/2</f>
        <v>216283.5</v>
      </c>
      <c r="M27" s="18">
        <f>+(162051+M10)/2</f>
        <v>203287.5</v>
      </c>
      <c r="N27" s="18">
        <f>+(158223+N10)/2</f>
        <v>191914</v>
      </c>
      <c r="O27" s="17">
        <f>(O10+P10)/2</f>
        <v>186325</v>
      </c>
      <c r="P27" s="17">
        <f>(P10+126314)/2</f>
        <v>151621.5</v>
      </c>
    </row>
    <row r="28" spans="1:16" ht="11.25">
      <c r="A28" s="2" t="s">
        <v>24</v>
      </c>
      <c r="C28" s="18">
        <f aca="true" t="shared" si="5" ref="C28:P28">C29+C30</f>
        <v>306425</v>
      </c>
      <c r="D28" s="18">
        <f t="shared" si="5"/>
        <v>371499</v>
      </c>
      <c r="E28" s="18">
        <f t="shared" si="5"/>
        <v>348234</v>
      </c>
      <c r="F28" s="19">
        <f t="shared" si="5"/>
        <v>335106.5</v>
      </c>
      <c r="G28" s="17">
        <f t="shared" si="5"/>
        <v>306141</v>
      </c>
      <c r="H28" s="17">
        <f t="shared" si="5"/>
        <v>279950.5</v>
      </c>
      <c r="I28" s="17">
        <f t="shared" si="5"/>
        <v>284570</v>
      </c>
      <c r="J28" s="17">
        <f t="shared" si="5"/>
        <v>283268.5</v>
      </c>
      <c r="K28" s="21">
        <f t="shared" si="5"/>
        <v>237559.5</v>
      </c>
      <c r="L28" s="18">
        <f t="shared" si="5"/>
        <v>190236</v>
      </c>
      <c r="M28" s="18">
        <f t="shared" si="5"/>
        <v>170714</v>
      </c>
      <c r="N28" s="18">
        <f t="shared" si="5"/>
        <v>167250</v>
      </c>
      <c r="O28" s="17">
        <f t="shared" si="5"/>
        <v>159081</v>
      </c>
      <c r="P28" s="17">
        <f t="shared" si="5"/>
        <v>130455</v>
      </c>
    </row>
    <row r="29" spans="2:16" ht="11.25">
      <c r="B29" s="2" t="s">
        <v>14</v>
      </c>
      <c r="C29" s="18">
        <f aca="true" t="shared" si="6" ref="C29:I29">(C12+G12)/2</f>
        <v>294691</v>
      </c>
      <c r="D29" s="18">
        <f t="shared" si="6"/>
        <v>329025</v>
      </c>
      <c r="E29" s="18">
        <f t="shared" si="6"/>
        <v>304299.5</v>
      </c>
      <c r="F29" s="19">
        <f t="shared" si="6"/>
        <v>320036</v>
      </c>
      <c r="G29" s="17">
        <f t="shared" si="6"/>
        <v>305130</v>
      </c>
      <c r="H29" s="17">
        <f t="shared" si="6"/>
        <v>276284.5</v>
      </c>
      <c r="I29" s="17">
        <f t="shared" si="6"/>
        <v>279255</v>
      </c>
      <c r="J29" s="17">
        <f>+(J12+N12)/2</f>
        <v>281811</v>
      </c>
      <c r="K29" s="21">
        <f>+(K12+O12)/2</f>
        <v>236107</v>
      </c>
      <c r="L29" s="18">
        <f>+(148479+L12)/2</f>
        <v>188983.5</v>
      </c>
      <c r="M29" s="18">
        <f>+(138746+M12)/2</f>
        <v>169169</v>
      </c>
      <c r="N29" s="18">
        <f>+(139402+N12)/2</f>
        <v>163550</v>
      </c>
      <c r="O29" s="17">
        <f>(O12+P12)/2</f>
        <v>155387</v>
      </c>
      <c r="P29" s="17">
        <f>(P12+109891)/2</f>
        <v>127424</v>
      </c>
    </row>
    <row r="30" spans="2:16" ht="11.25">
      <c r="B30" s="2" t="s">
        <v>17</v>
      </c>
      <c r="C30" s="18">
        <f aca="true" t="shared" si="7" ref="C30:I30">(C15+G15)/2</f>
        <v>11734</v>
      </c>
      <c r="D30" s="18">
        <f t="shared" si="7"/>
        <v>42474</v>
      </c>
      <c r="E30" s="18">
        <f t="shared" si="7"/>
        <v>43934.5</v>
      </c>
      <c r="F30" s="19">
        <f t="shared" si="7"/>
        <v>15070.5</v>
      </c>
      <c r="G30" s="17">
        <f t="shared" si="7"/>
        <v>1011</v>
      </c>
      <c r="H30" s="17">
        <f t="shared" si="7"/>
        <v>3666</v>
      </c>
      <c r="I30" s="17">
        <f t="shared" si="7"/>
        <v>5315</v>
      </c>
      <c r="J30" s="17">
        <f>+(J15+N15)/2</f>
        <v>1457.5</v>
      </c>
      <c r="K30" s="21">
        <f>+(K15+O15)/2</f>
        <v>1452.5</v>
      </c>
      <c r="L30" s="18">
        <f>+(1436+L15)/2</f>
        <v>1252.5</v>
      </c>
      <c r="M30" s="18">
        <f>+(1434+M15)/2</f>
        <v>1545</v>
      </c>
      <c r="N30" s="18">
        <f>+(5734+N15)/2</f>
        <v>3700</v>
      </c>
      <c r="O30" s="17">
        <f>(O15+P15)/2</f>
        <v>3694</v>
      </c>
      <c r="P30" s="17">
        <f>(P15+335)/2</f>
        <v>3031</v>
      </c>
    </row>
    <row r="31" spans="1:16" ht="11.25">
      <c r="A31" s="3" t="s">
        <v>22</v>
      </c>
      <c r="B31" s="3"/>
      <c r="C31" s="25">
        <f aca="true" t="shared" si="8" ref="C31:I31">(C25+G25)/2</f>
        <v>27953.5</v>
      </c>
      <c r="D31" s="18">
        <f t="shared" si="8"/>
        <v>26343.5</v>
      </c>
      <c r="E31" s="18">
        <f t="shared" si="8"/>
        <v>24182.5</v>
      </c>
      <c r="F31" s="26">
        <f t="shared" si="8"/>
        <v>24629.5</v>
      </c>
      <c r="G31" s="25">
        <f t="shared" si="8"/>
        <v>22844.5</v>
      </c>
      <c r="H31" s="25">
        <f t="shared" si="8"/>
        <v>18232.5</v>
      </c>
      <c r="I31" s="25">
        <f t="shared" si="8"/>
        <v>17571</v>
      </c>
      <c r="J31" s="25">
        <f>+(J25+N25)/2</f>
        <v>18114</v>
      </c>
      <c r="K31" s="27">
        <f>+(K25+O25)/2</f>
        <v>16586.5</v>
      </c>
      <c r="L31" s="25">
        <f>+(10959+L25)/2</f>
        <v>12512.5</v>
      </c>
      <c r="M31" s="25">
        <f>+(9767+M25)/2</f>
        <v>12405</v>
      </c>
      <c r="N31" s="25">
        <f>+(11079+N25)/2</f>
        <v>12332</v>
      </c>
      <c r="O31" s="25">
        <f>(O25+P25)/2</f>
        <v>11188</v>
      </c>
      <c r="P31" s="25">
        <f>(P25+7669)/2</f>
        <v>8844</v>
      </c>
    </row>
    <row r="32" spans="1:14" ht="11.25">
      <c r="A32" s="11" t="s">
        <v>25</v>
      </c>
      <c r="D32" s="5"/>
      <c r="E32" s="29"/>
      <c r="F32" s="28"/>
      <c r="K32" s="30"/>
      <c r="L32" s="4"/>
      <c r="M32" s="4"/>
      <c r="N32" s="4"/>
    </row>
    <row r="33" spans="1:16" ht="11.25">
      <c r="A33" s="2" t="s">
        <v>26</v>
      </c>
      <c r="C33" s="17">
        <v>48953</v>
      </c>
      <c r="D33" s="18">
        <v>35601</v>
      </c>
      <c r="E33" s="18">
        <v>23311</v>
      </c>
      <c r="F33" s="19">
        <v>11595</v>
      </c>
      <c r="G33" s="17">
        <v>53258</v>
      </c>
      <c r="H33" s="17">
        <v>39518</v>
      </c>
      <c r="I33" s="17">
        <v>25290</v>
      </c>
      <c r="J33" s="17">
        <v>11850</v>
      </c>
      <c r="K33" s="21">
        <v>27613</v>
      </c>
      <c r="L33" s="18">
        <v>18343</v>
      </c>
      <c r="M33" s="18">
        <v>11587</v>
      </c>
      <c r="N33" s="18">
        <v>5545</v>
      </c>
      <c r="O33" s="17">
        <v>17029</v>
      </c>
      <c r="P33" s="17">
        <v>14492</v>
      </c>
    </row>
    <row r="34" spans="1:16" ht="11.25">
      <c r="A34" s="2" t="s">
        <v>27</v>
      </c>
      <c r="C34" s="17">
        <v>34273</v>
      </c>
      <c r="D34" s="18">
        <v>25231</v>
      </c>
      <c r="E34" s="18">
        <v>16757</v>
      </c>
      <c r="F34" s="19">
        <v>8365</v>
      </c>
      <c r="G34" s="17">
        <v>36387</v>
      </c>
      <c r="H34" s="17">
        <v>27237</v>
      </c>
      <c r="I34" s="17">
        <v>17365</v>
      </c>
      <c r="J34" s="17">
        <v>7857</v>
      </c>
      <c r="K34" s="21">
        <v>16979</v>
      </c>
      <c r="L34" s="18">
        <v>10586</v>
      </c>
      <c r="M34" s="18">
        <v>6479</v>
      </c>
      <c r="N34" s="18">
        <v>3092</v>
      </c>
      <c r="O34" s="17">
        <v>8699</v>
      </c>
      <c r="P34" s="17">
        <v>6828</v>
      </c>
    </row>
    <row r="35" spans="1:16" ht="11.25">
      <c r="A35" s="2" t="s">
        <v>28</v>
      </c>
      <c r="C35" s="17">
        <f>+C33-C34</f>
        <v>14680</v>
      </c>
      <c r="D35" s="18">
        <f>+D33-D34</f>
        <v>10370</v>
      </c>
      <c r="E35" s="18">
        <f>+E33-E34</f>
        <v>6554</v>
      </c>
      <c r="F35" s="19">
        <f>+F33-F34</f>
        <v>3230</v>
      </c>
      <c r="G35" s="17">
        <v>16870</v>
      </c>
      <c r="H35" s="17">
        <f aca="true" t="shared" si="9" ref="H35:P35">H33-H34</f>
        <v>12281</v>
      </c>
      <c r="I35" s="17">
        <f t="shared" si="9"/>
        <v>7925</v>
      </c>
      <c r="J35" s="17">
        <f t="shared" si="9"/>
        <v>3993</v>
      </c>
      <c r="K35" s="21">
        <f t="shared" si="9"/>
        <v>10634</v>
      </c>
      <c r="L35" s="18">
        <f t="shared" si="9"/>
        <v>7757</v>
      </c>
      <c r="M35" s="18">
        <f t="shared" si="9"/>
        <v>5108</v>
      </c>
      <c r="N35" s="18">
        <f t="shared" si="9"/>
        <v>2453</v>
      </c>
      <c r="O35" s="17">
        <f t="shared" si="9"/>
        <v>8330</v>
      </c>
      <c r="P35" s="17">
        <f t="shared" si="9"/>
        <v>7664</v>
      </c>
    </row>
    <row r="36" spans="1:16" ht="11.25">
      <c r="A36" s="2" t="s">
        <v>29</v>
      </c>
      <c r="C36" s="17">
        <v>696</v>
      </c>
      <c r="D36" s="18">
        <v>562</v>
      </c>
      <c r="E36" s="18">
        <v>339</v>
      </c>
      <c r="F36" s="19">
        <v>188</v>
      </c>
      <c r="G36" s="17">
        <v>5572</v>
      </c>
      <c r="H36" s="17">
        <v>4258</v>
      </c>
      <c r="I36" s="17">
        <v>2954</v>
      </c>
      <c r="J36" s="17">
        <v>1488</v>
      </c>
      <c r="K36" s="21">
        <v>1183</v>
      </c>
      <c r="L36" s="18">
        <v>544</v>
      </c>
      <c r="M36" s="18">
        <v>393</v>
      </c>
      <c r="N36" s="18">
        <v>207</v>
      </c>
      <c r="O36" s="17">
        <v>776</v>
      </c>
      <c r="P36" s="17">
        <v>730</v>
      </c>
    </row>
    <row r="37" spans="1:16" ht="11.25">
      <c r="A37" s="2" t="s">
        <v>30</v>
      </c>
      <c r="C37" s="17">
        <f>+C36+C35</f>
        <v>15376</v>
      </c>
      <c r="D37" s="18">
        <f>+D36+D35</f>
        <v>10932</v>
      </c>
      <c r="E37" s="18">
        <f>+E36+E35</f>
        <v>6893</v>
      </c>
      <c r="F37" s="19">
        <f>+F36+F35</f>
        <v>3418</v>
      </c>
      <c r="G37" s="17">
        <f>+G36+G35</f>
        <v>22442</v>
      </c>
      <c r="H37" s="17">
        <f aca="true" t="shared" si="10" ref="H37:P37">H35+H36</f>
        <v>16539</v>
      </c>
      <c r="I37" s="17">
        <f t="shared" si="10"/>
        <v>10879</v>
      </c>
      <c r="J37" s="17">
        <f t="shared" si="10"/>
        <v>5481</v>
      </c>
      <c r="K37" s="21">
        <f t="shared" si="10"/>
        <v>11817</v>
      </c>
      <c r="L37" s="18">
        <f t="shared" si="10"/>
        <v>8301</v>
      </c>
      <c r="M37" s="18">
        <f t="shared" si="10"/>
        <v>5501</v>
      </c>
      <c r="N37" s="18">
        <f t="shared" si="10"/>
        <v>2660</v>
      </c>
      <c r="O37" s="17">
        <f t="shared" si="10"/>
        <v>9106</v>
      </c>
      <c r="P37" s="17">
        <f t="shared" si="10"/>
        <v>8394</v>
      </c>
    </row>
    <row r="38" spans="1:16" ht="11.25">
      <c r="A38" s="2" t="s">
        <v>31</v>
      </c>
      <c r="C38" s="17">
        <v>7815</v>
      </c>
      <c r="D38" s="18">
        <v>5518</v>
      </c>
      <c r="E38" s="18">
        <v>3499</v>
      </c>
      <c r="F38" s="19">
        <v>1674</v>
      </c>
      <c r="G38" s="17">
        <v>11377</v>
      </c>
      <c r="H38" s="17">
        <v>8549</v>
      </c>
      <c r="I38" s="17">
        <v>5823</v>
      </c>
      <c r="J38" s="17">
        <v>2759</v>
      </c>
      <c r="K38" s="21">
        <v>5158</v>
      </c>
      <c r="L38" s="18">
        <v>3644</v>
      </c>
      <c r="M38" s="18">
        <v>2518</v>
      </c>
      <c r="N38" s="18">
        <v>1285</v>
      </c>
      <c r="O38" s="17">
        <v>3757</v>
      </c>
      <c r="P38" s="17">
        <v>5067</v>
      </c>
    </row>
    <row r="39" spans="1:16" ht="11.25">
      <c r="A39" s="2" t="s">
        <v>32</v>
      </c>
      <c r="C39" s="17">
        <f>+C37-C38</f>
        <v>7561</v>
      </c>
      <c r="D39" s="18">
        <f>+D37-D38</f>
        <v>5414</v>
      </c>
      <c r="E39" s="18">
        <f>+E37-E38</f>
        <v>3394</v>
      </c>
      <c r="F39" s="19">
        <f>+F37-F38</f>
        <v>1744</v>
      </c>
      <c r="G39" s="17">
        <f>+G37-G38</f>
        <v>11065</v>
      </c>
      <c r="H39" s="17">
        <f aca="true" t="shared" si="11" ref="H39:P39">H37-H38</f>
        <v>7990</v>
      </c>
      <c r="I39" s="17">
        <f t="shared" si="11"/>
        <v>5056</v>
      </c>
      <c r="J39" s="17">
        <f t="shared" si="11"/>
        <v>2722</v>
      </c>
      <c r="K39" s="21">
        <f t="shared" si="11"/>
        <v>6659</v>
      </c>
      <c r="L39" s="18">
        <f t="shared" si="11"/>
        <v>4657</v>
      </c>
      <c r="M39" s="18">
        <f t="shared" si="11"/>
        <v>2983</v>
      </c>
      <c r="N39" s="18">
        <f t="shared" si="11"/>
        <v>1375</v>
      </c>
      <c r="O39" s="17">
        <f t="shared" si="11"/>
        <v>5349</v>
      </c>
      <c r="P39" s="17">
        <f t="shared" si="11"/>
        <v>3327</v>
      </c>
    </row>
    <row r="40" spans="1:16" ht="11.25">
      <c r="A40" s="3" t="s">
        <v>33</v>
      </c>
      <c r="B40" s="3"/>
      <c r="C40" s="25">
        <f>+C39-1400</f>
        <v>6161</v>
      </c>
      <c r="D40" s="25">
        <f>+D39</f>
        <v>5414</v>
      </c>
      <c r="E40" s="25">
        <f>+E39</f>
        <v>3394</v>
      </c>
      <c r="F40" s="26">
        <f>+F39</f>
        <v>1744</v>
      </c>
      <c r="G40" s="25">
        <f>+G39-2651</f>
        <v>8414</v>
      </c>
      <c r="H40" s="25">
        <v>5940</v>
      </c>
      <c r="I40" s="25">
        <v>3640</v>
      </c>
      <c r="J40" s="25">
        <v>1874</v>
      </c>
      <c r="K40" s="27">
        <v>6059</v>
      </c>
      <c r="L40" s="25">
        <v>4207</v>
      </c>
      <c r="M40" s="25">
        <v>2683</v>
      </c>
      <c r="N40" s="25">
        <v>1225</v>
      </c>
      <c r="O40" s="25">
        <v>4829</v>
      </c>
      <c r="P40" s="25">
        <v>2698</v>
      </c>
    </row>
    <row r="41" spans="1:16" ht="11.25">
      <c r="A41" s="31" t="s">
        <v>34</v>
      </c>
      <c r="B41" s="5"/>
      <c r="C41" s="4"/>
      <c r="E41" s="18"/>
      <c r="F41" s="28"/>
      <c r="G41" s="4"/>
      <c r="H41" s="4"/>
      <c r="I41" s="17"/>
      <c r="J41" s="5"/>
      <c r="K41" s="32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18">
        <v>4297</v>
      </c>
      <c r="D42" s="17">
        <v>4654</v>
      </c>
      <c r="E42" s="18">
        <v>4261</v>
      </c>
      <c r="F42" s="19">
        <v>2170</v>
      </c>
      <c r="G42" s="18">
        <v>1715</v>
      </c>
      <c r="H42" s="17">
        <v>1863</v>
      </c>
      <c r="I42" s="17">
        <v>4074</v>
      </c>
      <c r="J42" s="18">
        <v>253</v>
      </c>
      <c r="K42" s="21">
        <v>1125</v>
      </c>
      <c r="L42" s="18">
        <v>3676</v>
      </c>
      <c r="M42" s="18">
        <v>1</v>
      </c>
      <c r="N42" s="18">
        <v>316</v>
      </c>
      <c r="O42" s="18">
        <v>25</v>
      </c>
      <c r="P42" s="18">
        <v>14</v>
      </c>
    </row>
    <row r="43" spans="1:16" ht="11.25">
      <c r="A43" s="4" t="s">
        <v>36</v>
      </c>
      <c r="B43" s="4"/>
      <c r="C43" s="18">
        <v>4555</v>
      </c>
      <c r="D43" s="17">
        <v>3155</v>
      </c>
      <c r="E43" s="18">
        <v>3155</v>
      </c>
      <c r="F43" s="19">
        <v>3205</v>
      </c>
      <c r="G43" s="18">
        <v>3749</v>
      </c>
      <c r="H43" s="17">
        <v>3913</v>
      </c>
      <c r="I43" s="17">
        <v>3907</v>
      </c>
      <c r="J43" s="18">
        <v>3477</v>
      </c>
      <c r="K43" s="21">
        <v>2926</v>
      </c>
      <c r="L43" s="18">
        <v>1782</v>
      </c>
      <c r="M43" s="18">
        <v>2076</v>
      </c>
      <c r="N43" s="18">
        <v>1977</v>
      </c>
      <c r="O43" s="18">
        <v>1842</v>
      </c>
      <c r="P43" s="18">
        <v>1426</v>
      </c>
    </row>
    <row r="44" spans="1:16" ht="11.25">
      <c r="A44" s="4" t="s">
        <v>37</v>
      </c>
      <c r="B44" s="4"/>
      <c r="C44" s="33">
        <f>C42/C12</f>
        <v>0.015049786529092635</v>
      </c>
      <c r="D44" s="33">
        <f>D42/D12</f>
        <v>0.013893823010487538</v>
      </c>
      <c r="E44" s="33">
        <f>+E42/E12</f>
        <v>0.01706577593008679</v>
      </c>
      <c r="F44" s="34">
        <f>+F42/F12</f>
        <v>0.008215091539591442</v>
      </c>
      <c r="G44" s="33">
        <f>+G42/G12</f>
        <v>0.0056439908774678065</v>
      </c>
      <c r="H44" s="35">
        <f aca="true" t="shared" si="12" ref="H44:P44">H42/H12</f>
        <v>0.0057663558055100735</v>
      </c>
      <c r="I44" s="35">
        <f t="shared" si="12"/>
        <v>0.011350782072785427</v>
      </c>
      <c r="J44" s="33">
        <f t="shared" si="12"/>
        <v>0.0006730083740330492</v>
      </c>
      <c r="K44" s="36">
        <f t="shared" si="12"/>
        <v>0.003671706968410265</v>
      </c>
      <c r="L44" s="33">
        <f t="shared" si="12"/>
        <v>0.016018266750331172</v>
      </c>
      <c r="M44" s="33">
        <f t="shared" si="12"/>
        <v>5.010220850535092E-06</v>
      </c>
      <c r="N44" s="33">
        <f t="shared" si="12"/>
        <v>0.001683555498726678</v>
      </c>
      <c r="O44" s="33">
        <f t="shared" si="12"/>
        <v>0.00015076861841668826</v>
      </c>
      <c r="P44" s="33">
        <f t="shared" si="12"/>
        <v>9.658036521175246E-05</v>
      </c>
    </row>
    <row r="45" spans="1:16" ht="11.25">
      <c r="A45" s="4" t="s">
        <v>38</v>
      </c>
      <c r="B45" s="4"/>
      <c r="C45" s="33">
        <f>C43/C42</f>
        <v>1.0600418896904817</v>
      </c>
      <c r="D45" s="33">
        <f>D43/D42</f>
        <v>0.6779114740008595</v>
      </c>
      <c r="E45" s="37">
        <f aca="true" t="shared" si="13" ref="E45:P45">+E43/E42</f>
        <v>0.7404365172494719</v>
      </c>
      <c r="F45" s="38">
        <f t="shared" si="13"/>
        <v>1.476958525345622</v>
      </c>
      <c r="G45" s="37">
        <f t="shared" si="13"/>
        <v>2.18600583090379</v>
      </c>
      <c r="H45" s="37">
        <f t="shared" si="13"/>
        <v>2.1003757380568975</v>
      </c>
      <c r="I45" s="37">
        <f t="shared" si="13"/>
        <v>0.9590083456062838</v>
      </c>
      <c r="J45" s="37">
        <f t="shared" si="13"/>
        <v>13.743083003952568</v>
      </c>
      <c r="K45" s="39">
        <f t="shared" si="13"/>
        <v>2.600888888888889</v>
      </c>
      <c r="L45" s="37">
        <f t="shared" si="13"/>
        <v>0.484766050054407</v>
      </c>
      <c r="M45" s="37">
        <f t="shared" si="13"/>
        <v>2076</v>
      </c>
      <c r="N45" s="37">
        <f t="shared" si="13"/>
        <v>6.256329113924051</v>
      </c>
      <c r="O45" s="37">
        <f t="shared" si="13"/>
        <v>73.68</v>
      </c>
      <c r="P45" s="33">
        <f t="shared" si="13"/>
        <v>101.85714285714286</v>
      </c>
    </row>
    <row r="46" spans="1:16" ht="11.25">
      <c r="A46" s="3" t="s">
        <v>39</v>
      </c>
      <c r="B46" s="3"/>
      <c r="C46" s="40">
        <f aca="true" t="shared" si="14" ref="C46:I46">C43/C12</f>
        <v>0.015953404151737714</v>
      </c>
      <c r="D46" s="40">
        <f t="shared" si="14"/>
        <v>0.009418782036546666</v>
      </c>
      <c r="E46" s="40">
        <f t="shared" si="14"/>
        <v>0.012636123693833332</v>
      </c>
      <c r="F46" s="41">
        <f t="shared" si="14"/>
        <v>0.012133349485894271</v>
      </c>
      <c r="G46" s="40">
        <f t="shared" si="14"/>
        <v>0.012337796967712422</v>
      </c>
      <c r="H46" s="40">
        <f t="shared" si="14"/>
        <v>0.012111513830896896</v>
      </c>
      <c r="I46" s="40">
        <f t="shared" si="14"/>
        <v>0.010885494736959416</v>
      </c>
      <c r="J46" s="40">
        <f>+J43/J12</f>
        <v>0.009249209946691353</v>
      </c>
      <c r="K46" s="42">
        <f>2926/K12</f>
        <v>0.009549701857394165</v>
      </c>
      <c r="L46" s="40">
        <f>1782/L12</f>
        <v>0.007765111901275884</v>
      </c>
      <c r="M46" s="40">
        <f>2076/M12</f>
        <v>0.01040121848571085</v>
      </c>
      <c r="N46" s="40">
        <f>1977/N12</f>
        <v>0.010532877281590641</v>
      </c>
      <c r="O46" s="40">
        <f>1849/O12</f>
        <v>0.011150847018098264</v>
      </c>
      <c r="P46" s="40">
        <f>1426/P12</f>
        <v>0.0098374000565685</v>
      </c>
    </row>
    <row r="47" spans="1:16" ht="11.25">
      <c r="A47" s="11" t="s">
        <v>40</v>
      </c>
      <c r="E47" s="18"/>
      <c r="F47" s="28"/>
      <c r="G47" s="5"/>
      <c r="H47" s="5"/>
      <c r="I47" s="5"/>
      <c r="J47" s="43"/>
      <c r="K47" s="5"/>
      <c r="L47" s="5"/>
      <c r="M47" s="5"/>
      <c r="N47" s="4"/>
      <c r="O47" s="5"/>
      <c r="P47" s="5"/>
    </row>
    <row r="48" spans="1:16" ht="11.25">
      <c r="A48" s="2" t="s">
        <v>41</v>
      </c>
      <c r="C48" s="33">
        <f>+C25/C12</f>
        <v>0.10869329186498972</v>
      </c>
      <c r="D48" s="33">
        <f>+D25/D12</f>
        <v>0.09042030755084798</v>
      </c>
      <c r="E48" s="33">
        <f>+E25/E12</f>
        <v>0.11320845398728778</v>
      </c>
      <c r="F48" s="34">
        <f aca="true" t="shared" si="15" ref="F48:P48">F25/F12</f>
        <v>0.10076169420173539</v>
      </c>
      <c r="G48" s="33">
        <f t="shared" si="15"/>
        <v>0.08185596798557244</v>
      </c>
      <c r="H48" s="33">
        <f t="shared" si="15"/>
        <v>0.06932936322470216</v>
      </c>
      <c r="I48" s="33">
        <f t="shared" si="15"/>
        <v>0.05599886325010169</v>
      </c>
      <c r="J48" s="34">
        <f t="shared" si="15"/>
        <v>0.06023291941988274</v>
      </c>
      <c r="K48" s="33">
        <f t="shared" si="15"/>
        <v>0.06793800200393607</v>
      </c>
      <c r="L48" s="33">
        <f t="shared" si="15"/>
        <v>0.061292965209509866</v>
      </c>
      <c r="M48" s="33">
        <f t="shared" si="15"/>
        <v>0.07536875225459938</v>
      </c>
      <c r="N48" s="33">
        <f t="shared" si="15"/>
        <v>0.0723769033234238</v>
      </c>
      <c r="O48" s="33">
        <f t="shared" si="15"/>
        <v>0.07452191271100068</v>
      </c>
      <c r="P48" s="33">
        <f t="shared" si="15"/>
        <v>0.06911704850403913</v>
      </c>
    </row>
    <row r="49" spans="1:16" ht="11.25">
      <c r="A49" s="3" t="s">
        <v>42</v>
      </c>
      <c r="B49" s="3"/>
      <c r="C49" s="40">
        <f aca="true" t="shared" si="16" ref="C49:P49">C25/(C12+C15)</f>
        <v>0.100691413943136</v>
      </c>
      <c r="D49" s="40">
        <f t="shared" si="16"/>
        <v>0.07322061432985055</v>
      </c>
      <c r="E49" s="40">
        <f t="shared" si="16"/>
        <v>0.08602575964160498</v>
      </c>
      <c r="F49" s="41">
        <f t="shared" si="16"/>
        <v>0.09082719082719083</v>
      </c>
      <c r="G49" s="40">
        <f t="shared" si="16"/>
        <v>0.08164692211488277</v>
      </c>
      <c r="H49" s="40">
        <f t="shared" si="16"/>
        <v>0.06801095511076564</v>
      </c>
      <c r="I49" s="40">
        <f t="shared" si="16"/>
        <v>0.05463288138910333</v>
      </c>
      <c r="J49" s="41">
        <f t="shared" si="16"/>
        <v>0.06003345944699117</v>
      </c>
      <c r="K49" s="40">
        <f t="shared" si="16"/>
        <v>0.06766328285241564</v>
      </c>
      <c r="L49" s="40">
        <f t="shared" si="16"/>
        <v>0.061008774402859164</v>
      </c>
      <c r="M49" s="40">
        <f t="shared" si="16"/>
        <v>0.07474856892987757</v>
      </c>
      <c r="N49" s="40">
        <f t="shared" si="16"/>
        <v>0.07174014068143893</v>
      </c>
      <c r="O49" s="40">
        <f t="shared" si="16"/>
        <v>0.07378282520689285</v>
      </c>
      <c r="P49" s="40">
        <f t="shared" si="16"/>
        <v>0.06649013830267314</v>
      </c>
    </row>
    <row r="50" spans="1:14" ht="11.25">
      <c r="A50" s="11" t="s">
        <v>43</v>
      </c>
      <c r="C50" s="18"/>
      <c r="D50" s="18"/>
      <c r="E50" s="18"/>
      <c r="F50" s="28"/>
      <c r="K50" s="30"/>
      <c r="L50" s="4"/>
      <c r="M50" s="4"/>
      <c r="N50" s="4"/>
    </row>
    <row r="51" spans="1:16" ht="11.25">
      <c r="A51" s="2" t="s">
        <v>44</v>
      </c>
      <c r="C51" s="33">
        <f aca="true" t="shared" si="17" ref="C51:P51">C11/C16</f>
        <v>0.49713226495523033</v>
      </c>
      <c r="D51" s="33">
        <f t="shared" si="17"/>
        <v>0.35576051438811007</v>
      </c>
      <c r="E51" s="33">
        <f t="shared" si="17"/>
        <v>0.5082477964967087</v>
      </c>
      <c r="F51" s="34">
        <f t="shared" si="17"/>
        <v>0.5490917112225739</v>
      </c>
      <c r="G51" s="33">
        <f t="shared" si="17"/>
        <v>0.43840285834556825</v>
      </c>
      <c r="H51" s="33">
        <f t="shared" si="17"/>
        <v>0.353078370229106</v>
      </c>
      <c r="I51" s="44">
        <f t="shared" si="17"/>
        <v>0.21403064958449902</v>
      </c>
      <c r="J51" s="35">
        <f t="shared" si="17"/>
        <v>0.10391784419932476</v>
      </c>
      <c r="K51" s="36">
        <f t="shared" si="17"/>
        <v>0.10355316926572722</v>
      </c>
      <c r="L51" s="33">
        <f t="shared" si="17"/>
        <v>0.0751390471737627</v>
      </c>
      <c r="M51" s="33">
        <f t="shared" si="17"/>
        <v>0.19694078965454676</v>
      </c>
      <c r="N51" s="33">
        <f t="shared" si="17"/>
        <v>0.16083610337495882</v>
      </c>
      <c r="O51" s="35">
        <f t="shared" si="17"/>
        <v>0.1397683973585366</v>
      </c>
      <c r="P51" s="35">
        <f t="shared" si="17"/>
        <v>0.1818714713232345</v>
      </c>
    </row>
    <row r="52" spans="1:16" ht="11.25">
      <c r="A52" s="2" t="s">
        <v>45</v>
      </c>
      <c r="C52" s="33">
        <f aca="true" t="shared" si="18" ref="C52:P52">C11/C10</f>
        <v>0.3312417255658338</v>
      </c>
      <c r="D52" s="33">
        <f t="shared" si="18"/>
        <v>0.22063082202974343</v>
      </c>
      <c r="E52" s="33">
        <f t="shared" si="18"/>
        <v>0.3176426905416854</v>
      </c>
      <c r="F52" s="34">
        <f t="shared" si="18"/>
        <v>0.3917789256050536</v>
      </c>
      <c r="G52" s="33">
        <f t="shared" si="18"/>
        <v>0.33575187386108757</v>
      </c>
      <c r="H52" s="33">
        <f t="shared" si="18"/>
        <v>0.2838752320647129</v>
      </c>
      <c r="I52" s="44">
        <f t="shared" si="18"/>
        <v>0.1691025014401173</v>
      </c>
      <c r="J52" s="35">
        <f t="shared" si="18"/>
        <v>0.0869967323730993</v>
      </c>
      <c r="K52" s="36">
        <f t="shared" si="18"/>
        <v>0.0820479016877098</v>
      </c>
      <c r="L52" s="33">
        <f t="shared" si="18"/>
        <v>0.05946677253612603</v>
      </c>
      <c r="M52" s="33">
        <f t="shared" si="18"/>
        <v>0.1464845986488034</v>
      </c>
      <c r="N52" s="33">
        <f t="shared" si="18"/>
        <v>0.11903104984375347</v>
      </c>
      <c r="O52" s="35">
        <f t="shared" si="18"/>
        <v>0.10532850332871792</v>
      </c>
      <c r="P52" s="35">
        <f t="shared" si="18"/>
        <v>0.13327379909455206</v>
      </c>
    </row>
    <row r="53" spans="1:16" ht="11.25">
      <c r="A53" s="3" t="s">
        <v>46</v>
      </c>
      <c r="B53" s="3"/>
      <c r="C53" s="40">
        <f aca="true" t="shared" si="19" ref="C53:P53">(C11+C15)/C16</f>
        <v>0.5691509790291915</v>
      </c>
      <c r="D53" s="40">
        <f t="shared" si="19"/>
        <v>0.5631100453251818</v>
      </c>
      <c r="E53" s="40">
        <f t="shared" si="19"/>
        <v>0.7283052549369631</v>
      </c>
      <c r="F53" s="41">
        <f t="shared" si="19"/>
        <v>0.6215141739171849</v>
      </c>
      <c r="G53" s="40">
        <f t="shared" si="19"/>
        <v>0.4403997987659011</v>
      </c>
      <c r="H53" s="40">
        <f t="shared" si="19"/>
        <v>0.3692188748292658</v>
      </c>
      <c r="I53" s="45">
        <f t="shared" si="19"/>
        <v>0.2388143377530082</v>
      </c>
      <c r="J53" s="40">
        <f t="shared" si="19"/>
        <v>0.10743776033006612</v>
      </c>
      <c r="K53" s="42">
        <f t="shared" si="19"/>
        <v>0.10811236737461288</v>
      </c>
      <c r="L53" s="40">
        <f t="shared" si="19"/>
        <v>0.0803454019461734</v>
      </c>
      <c r="M53" s="40">
        <f t="shared" si="19"/>
        <v>0.20604584416941119</v>
      </c>
      <c r="N53" s="40">
        <f t="shared" si="19"/>
        <v>0.17081424250591443</v>
      </c>
      <c r="O53" s="40">
        <f t="shared" si="19"/>
        <v>0.15102987240158922</v>
      </c>
      <c r="P53" s="40">
        <f t="shared" si="19"/>
        <v>0.22604356276802517</v>
      </c>
    </row>
    <row r="54" spans="1:14" ht="11.25">
      <c r="A54" s="11" t="s">
        <v>47</v>
      </c>
      <c r="D54" s="18"/>
      <c r="E54" s="18"/>
      <c r="F54" s="28"/>
      <c r="K54" s="30"/>
      <c r="L54" s="4"/>
      <c r="M54" s="4"/>
      <c r="N54" s="4"/>
    </row>
    <row r="55" spans="1:16" ht="11.25">
      <c r="A55" s="2" t="s">
        <v>48</v>
      </c>
      <c r="B55" s="4"/>
      <c r="C55" s="37">
        <f>C40/C28</f>
        <v>0.020106061842212614</v>
      </c>
      <c r="D55" s="33">
        <f>(D40/0.75)/D28</f>
        <v>0.019431187342810255</v>
      </c>
      <c r="E55" s="33">
        <f>(E40/0.5)/E28</f>
        <v>0.019492640006432457</v>
      </c>
      <c r="F55" s="34">
        <f>((F40)/0.25)/F28</f>
        <v>0.020817262571749578</v>
      </c>
      <c r="G55" s="37">
        <f>G40/G28</f>
        <v>0.027484067798824726</v>
      </c>
      <c r="H55" s="37">
        <f>(H40/0.75)/H28</f>
        <v>0.028290715680093444</v>
      </c>
      <c r="I55" s="35">
        <f>(I40/0.5)/I28</f>
        <v>0.025582457743261764</v>
      </c>
      <c r="J55" s="35">
        <f>((J40)/0.25)/J28</f>
        <v>0.02646252583679442</v>
      </c>
      <c r="K55" s="39">
        <f>K40/K28</f>
        <v>0.02550518922627805</v>
      </c>
      <c r="L55" s="37">
        <f>(L40/0.75)/L28</f>
        <v>0.029486182075597327</v>
      </c>
      <c r="M55" s="37">
        <f>(M40/0.5)/M28</f>
        <v>0.03143268859027379</v>
      </c>
      <c r="N55" s="33">
        <f>((N40)/0.25)/N28</f>
        <v>0.02929745889387145</v>
      </c>
      <c r="O55" s="35">
        <f>O40/O28</f>
        <v>0.030355605006254675</v>
      </c>
      <c r="P55" s="35">
        <f>P40/P28</f>
        <v>0.020681461040205434</v>
      </c>
    </row>
    <row r="56" spans="1:16" ht="11.25">
      <c r="A56" s="2" t="s">
        <v>49</v>
      </c>
      <c r="B56" s="4"/>
      <c r="C56" s="37">
        <f>C40/C27</f>
        <v>0.01255360139208253</v>
      </c>
      <c r="D56" s="33">
        <f>(D40/0.75)/D27</f>
        <v>0.013190513258122557</v>
      </c>
      <c r="E56" s="33">
        <f>(E40/0.5)/E27</f>
        <v>0.01315567614710015</v>
      </c>
      <c r="F56" s="34">
        <f>((F40)/0.25)/F27</f>
        <v>0.014193589079726017</v>
      </c>
      <c r="G56" s="37">
        <f>G40/G27</f>
        <v>0.019726145582893068</v>
      </c>
      <c r="H56" s="37">
        <f>(H40/0.75)/H27</f>
        <v>0.021345896507439396</v>
      </c>
      <c r="I56" s="35">
        <f>(I40/0.5)/I27</f>
        <v>0.020716541931077657</v>
      </c>
      <c r="J56" s="35">
        <f>((J40)/0.25)/J27</f>
        <v>0.02308379268931112</v>
      </c>
      <c r="K56" s="39">
        <f>K40/K27</f>
        <v>0.022436876611990897</v>
      </c>
      <c r="L56" s="37">
        <f>(L40/0.75)/L27</f>
        <v>0.025935095988983595</v>
      </c>
      <c r="M56" s="37">
        <f>(M40/0.5)/M27</f>
        <v>0.026396113878128267</v>
      </c>
      <c r="N56" s="33">
        <f>((N40)/0.25)/N27</f>
        <v>0.025532269662452974</v>
      </c>
      <c r="O56" s="35">
        <f>O40/O27</f>
        <v>0.025917080370320675</v>
      </c>
      <c r="P56" s="35">
        <f>P40/P27</f>
        <v>0.017794310173689088</v>
      </c>
    </row>
    <row r="57" spans="1:16" ht="11.25">
      <c r="A57" s="2" t="s">
        <v>50</v>
      </c>
      <c r="B57" s="4"/>
      <c r="C57" s="37">
        <f>+C40/C31</f>
        <v>0.22040173860160625</v>
      </c>
      <c r="D57" s="33">
        <f>(D40/0.75)/D31</f>
        <v>0.2740207894420509</v>
      </c>
      <c r="E57" s="33">
        <f>(E40/0.5)/E31</f>
        <v>0.28069885247596404</v>
      </c>
      <c r="F57" s="34">
        <f>((F40)/0.25)/F31</f>
        <v>0.28323758094967416</v>
      </c>
      <c r="G57" s="37">
        <f>+G40/G31</f>
        <v>0.3683162249119044</v>
      </c>
      <c r="H57" s="37">
        <f>(H40/0.75)/H31</f>
        <v>0.4343891402714932</v>
      </c>
      <c r="I57" s="35">
        <f>(I40/0.5)/I31</f>
        <v>0.41431904843207557</v>
      </c>
      <c r="J57" s="35">
        <f>((J40)/0.25)/J31</f>
        <v>0.41382356188583413</v>
      </c>
      <c r="K57" s="39">
        <f>+K40/K31</f>
        <v>0.3652970789497483</v>
      </c>
      <c r="L57" s="37">
        <f>(L40/0.75)/L31</f>
        <v>0.4482983682983683</v>
      </c>
      <c r="M57" s="37">
        <f>(M40/0.5)/M31</f>
        <v>0.43256751309955666</v>
      </c>
      <c r="N57" s="33">
        <f>((N40)/0.25)/N31</f>
        <v>0.3973402530003244</v>
      </c>
      <c r="O57" s="35">
        <f>O40/O31</f>
        <v>0.43162316767965675</v>
      </c>
      <c r="P57" s="35">
        <f>P40/P31</f>
        <v>0.30506558118498417</v>
      </c>
    </row>
    <row r="58" spans="1:16" ht="11.25">
      <c r="A58" s="2" t="s">
        <v>51</v>
      </c>
      <c r="B58" s="4"/>
      <c r="C58" s="37">
        <f>C33/C28</f>
        <v>0.15975524190258628</v>
      </c>
      <c r="D58" s="33">
        <f>(D33/0.75)/D28</f>
        <v>0.1277742335780177</v>
      </c>
      <c r="E58" s="33">
        <f>(E33/0.5)/E28</f>
        <v>0.13388124077488125</v>
      </c>
      <c r="F58" s="34">
        <f>((F33)/0.25)/F28</f>
        <v>0.13840376119233735</v>
      </c>
      <c r="G58" s="37">
        <f>G33/G28</f>
        <v>0.1739655910185176</v>
      </c>
      <c r="H58" s="37">
        <f>(H33/0.75)/H28</f>
        <v>0.18821422596732873</v>
      </c>
      <c r="I58" s="35">
        <f>(I33/0.5)/I28</f>
        <v>0.17774185613381593</v>
      </c>
      <c r="J58" s="35">
        <f>((J33)/0.25)/J28</f>
        <v>0.16733240723906823</v>
      </c>
      <c r="K58" s="39">
        <f>K33/K28</f>
        <v>0.11623614294524108</v>
      </c>
      <c r="L58" s="37">
        <f>(L33/0.75)/L28</f>
        <v>0.1285631180919139</v>
      </c>
      <c r="M58" s="37">
        <f>(M33/0.5)/M28</f>
        <v>0.13574750752720924</v>
      </c>
      <c r="N58" s="33">
        <f>((N33)/0.25)/N28</f>
        <v>0.13261584454409567</v>
      </c>
      <c r="O58" s="35">
        <f>O33/O28</f>
        <v>0.1070460960139803</v>
      </c>
      <c r="P58" s="35">
        <f>P33/P27</f>
        <v>0.09558011231916318</v>
      </c>
    </row>
    <row r="59" spans="1:16" ht="11.25">
      <c r="A59" s="2" t="s">
        <v>52</v>
      </c>
      <c r="B59" s="4"/>
      <c r="C59" s="37">
        <f>C34/C28</f>
        <v>0.1118479236354736</v>
      </c>
      <c r="D59" s="33">
        <f>(D34/0.75)/D28</f>
        <v>0.09055564976846057</v>
      </c>
      <c r="E59" s="33">
        <f>(E34/0.5)/E28</f>
        <v>0.0962398846752471</v>
      </c>
      <c r="F59" s="34">
        <f>((F34)/0.25)/F28</f>
        <v>0.0998488540210351</v>
      </c>
      <c r="G59" s="37">
        <f>G34/G28</f>
        <v>0.11885699726596569</v>
      </c>
      <c r="H59" s="37">
        <f>(H34/0.75)/H28</f>
        <v>0.12972293316139819</v>
      </c>
      <c r="I59" s="35">
        <f>(I34/0.5)/I28</f>
        <v>0.12204378536036828</v>
      </c>
      <c r="J59" s="35">
        <f>((J34)/0.25)/J28</f>
        <v>0.11094774039471385</v>
      </c>
      <c r="K59" s="39">
        <f>K34/K28</f>
        <v>0.0714726205434849</v>
      </c>
      <c r="L59" s="37">
        <f>(L34/0.75)/L28</f>
        <v>0.07419556060191902</v>
      </c>
      <c r="M59" s="37">
        <f>(M34/0.5)/M28</f>
        <v>0.07590472954766452</v>
      </c>
      <c r="N59" s="33">
        <f>((N34)/0.25)/N28</f>
        <v>0.073949177877429</v>
      </c>
      <c r="O59" s="35">
        <f>O34/O28</f>
        <v>0.05468283453083649</v>
      </c>
      <c r="P59" s="35">
        <f>P34/P27</f>
        <v>0.04503319120309455</v>
      </c>
    </row>
    <row r="60" spans="1:16" ht="11.25">
      <c r="A60" s="2" t="s">
        <v>53</v>
      </c>
      <c r="B60" s="4"/>
      <c r="C60" s="37">
        <f>C35/C28</f>
        <v>0.04790731826711267</v>
      </c>
      <c r="D60" s="33">
        <f>(D35/0.75)/D28</f>
        <v>0.037218583809557136</v>
      </c>
      <c r="E60" s="33">
        <f>(E35/0.5)/E28</f>
        <v>0.037641356099634156</v>
      </c>
      <c r="F60" s="34">
        <f>((F35)/0.25)/F28</f>
        <v>0.038554907171302256</v>
      </c>
      <c r="G60" s="37">
        <f>G35/G28</f>
        <v>0.055105327283833265</v>
      </c>
      <c r="H60" s="37">
        <f>(H35/0.75)/H28</f>
        <v>0.05849129280593057</v>
      </c>
      <c r="I60" s="35">
        <f>(I35/0.5)/I28</f>
        <v>0.055698070773447655</v>
      </c>
      <c r="J60" s="35">
        <f>((J35)/0.25)/J28</f>
        <v>0.056384666844354385</v>
      </c>
      <c r="K60" s="39">
        <f>K35/K28</f>
        <v>0.04476352240175619</v>
      </c>
      <c r="L60" s="37">
        <f>(L35/0.75)/L28</f>
        <v>0.05436755748999488</v>
      </c>
      <c r="M60" s="37">
        <f>(M35/0.5)/M28</f>
        <v>0.05984277797954474</v>
      </c>
      <c r="N60" s="33">
        <f>((N35)/0.25)/N28</f>
        <v>0.058666666666666666</v>
      </c>
      <c r="O60" s="35">
        <f>O35/O28</f>
        <v>0.052363261483143804</v>
      </c>
      <c r="P60" s="35">
        <f>P35/P27</f>
        <v>0.05054692111606863</v>
      </c>
    </row>
    <row r="61" spans="1:16" ht="11.25">
      <c r="A61" s="2" t="s">
        <v>54</v>
      </c>
      <c r="B61" s="4"/>
      <c r="C61" s="37">
        <f>C38/C37</f>
        <v>0.5082596253902185</v>
      </c>
      <c r="D61" s="33">
        <f>(D38/0.75)/(D37/0.75)</f>
        <v>0.5047566776436151</v>
      </c>
      <c r="E61" s="33">
        <f>(E38/0.5)/(E37/0.5)</f>
        <v>0.5076164224575657</v>
      </c>
      <c r="F61" s="34">
        <f>(F38/0.25)/(F37/0.25)</f>
        <v>0.4897600936220012</v>
      </c>
      <c r="G61" s="37">
        <f>G38/G37</f>
        <v>0.5069512521165671</v>
      </c>
      <c r="H61" s="37">
        <f>(H38/0.75)/(H37/0.75)</f>
        <v>0.5168994497853558</v>
      </c>
      <c r="I61" s="35">
        <f>(I38/0.5)/(I37/0.5)</f>
        <v>0.5352514017832521</v>
      </c>
      <c r="J61" s="35">
        <f>(J38/0.25)/(J37/0.25)</f>
        <v>0.5033752964787448</v>
      </c>
      <c r="K61" s="39">
        <f>K38/K37</f>
        <v>0.4364898028264365</v>
      </c>
      <c r="L61" s="37">
        <f>(L38/0.75)/(L37/0.75)</f>
        <v>0.4389832550295145</v>
      </c>
      <c r="M61" s="37">
        <f>(M38/0.5)/(M37/0.5)</f>
        <v>0.45773495728049446</v>
      </c>
      <c r="N61" s="33">
        <f>(N38/0.25)/(N37/0.25)</f>
        <v>0.4830827067669173</v>
      </c>
      <c r="O61" s="35">
        <f>O38/O37</f>
        <v>0.4125851087195256</v>
      </c>
      <c r="P61" s="35">
        <f>P38/P37</f>
        <v>0.6036454610436026</v>
      </c>
    </row>
    <row r="62" spans="1:16" ht="11.25">
      <c r="A62" s="3" t="s">
        <v>55</v>
      </c>
      <c r="B62" s="3"/>
      <c r="C62" s="46">
        <f>C36/C28</f>
        <v>0.0022713551439993472</v>
      </c>
      <c r="D62" s="40">
        <f>(D36/0.75)/D28</f>
        <v>0.0020170534330733957</v>
      </c>
      <c r="E62" s="40">
        <f>(E36/0.5)/E28</f>
        <v>0.0019469666948086631</v>
      </c>
      <c r="F62" s="41">
        <f>(F36/0.25)/F28</f>
        <v>0.002244062708422546</v>
      </c>
      <c r="G62" s="46">
        <f>G36/G28</f>
        <v>0.018200763700386424</v>
      </c>
      <c r="H62" s="46">
        <f>(H36/0.75)/H28</f>
        <v>0.020279775650814458</v>
      </c>
      <c r="I62" s="40">
        <f>(I36/0.5)/I28</f>
        <v>0.020761148399339353</v>
      </c>
      <c r="J62" s="40">
        <f>(J36/0.25)/J28</f>
        <v>0.021011866833057682</v>
      </c>
      <c r="K62" s="47">
        <f>K36/K28</f>
        <v>0.004979805059364075</v>
      </c>
      <c r="L62" s="46">
        <f>(L36/0.75)/L28</f>
        <v>0.003812807950825992</v>
      </c>
      <c r="M62" s="46">
        <f>(M36/0.5)/M28</f>
        <v>0.004604191806178755</v>
      </c>
      <c r="N62" s="40">
        <f>(N36/0.25)/N28</f>
        <v>0.00495067264573991</v>
      </c>
      <c r="O62" s="40">
        <f>O36/O28</f>
        <v>0.004878018116556974</v>
      </c>
      <c r="P62" s="40">
        <f>P36/P27</f>
        <v>0.004814620617788375</v>
      </c>
    </row>
    <row r="63" spans="1:14" ht="11.25">
      <c r="A63" s="11" t="s">
        <v>56</v>
      </c>
      <c r="E63" s="18"/>
      <c r="F63" s="28"/>
      <c r="K63" s="30"/>
      <c r="L63" s="4"/>
      <c r="M63" s="4"/>
      <c r="N63" s="4"/>
    </row>
    <row r="64" spans="1:16" ht="11.25">
      <c r="A64" s="2" t="s">
        <v>57</v>
      </c>
      <c r="C64" s="2">
        <v>23</v>
      </c>
      <c r="D64" s="17">
        <v>23</v>
      </c>
      <c r="E64" s="18">
        <v>23</v>
      </c>
      <c r="F64" s="28">
        <v>23</v>
      </c>
      <c r="G64" s="2">
        <v>23</v>
      </c>
      <c r="H64" s="17">
        <v>21</v>
      </c>
      <c r="I64" s="17">
        <v>21</v>
      </c>
      <c r="J64" s="17">
        <v>22</v>
      </c>
      <c r="K64" s="21">
        <v>22</v>
      </c>
      <c r="L64" s="18">
        <v>21</v>
      </c>
      <c r="M64" s="18">
        <v>21</v>
      </c>
      <c r="N64" s="18">
        <v>21</v>
      </c>
      <c r="O64" s="17">
        <v>21</v>
      </c>
      <c r="P64" s="17">
        <v>20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8">
        <v>1</v>
      </c>
      <c r="G65" s="2">
        <v>1</v>
      </c>
      <c r="H65" s="17">
        <v>1</v>
      </c>
      <c r="I65" s="17">
        <v>1</v>
      </c>
      <c r="J65" s="17">
        <v>1</v>
      </c>
      <c r="K65" s="21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20" ref="C66:P66">C12/C64</f>
        <v>12413.869565217392</v>
      </c>
      <c r="D66" s="18">
        <f t="shared" si="20"/>
        <v>14563.869565217392</v>
      </c>
      <c r="E66" s="18">
        <f t="shared" si="20"/>
        <v>10855.695652173914</v>
      </c>
      <c r="F66" s="19">
        <f t="shared" si="20"/>
        <v>11484.695652173914</v>
      </c>
      <c r="G66" s="17">
        <f t="shared" si="20"/>
        <v>13211.434782608696</v>
      </c>
      <c r="H66" s="17">
        <f t="shared" si="20"/>
        <v>15384.809523809523</v>
      </c>
      <c r="I66" s="17">
        <f t="shared" si="20"/>
        <v>17091.333333333332</v>
      </c>
      <c r="J66" s="17">
        <f t="shared" si="20"/>
        <v>17087.454545454544</v>
      </c>
      <c r="K66" s="21">
        <f t="shared" si="20"/>
        <v>13927.136363636364</v>
      </c>
      <c r="L66" s="18">
        <f t="shared" si="20"/>
        <v>10928</v>
      </c>
      <c r="M66" s="18">
        <f t="shared" si="20"/>
        <v>9504.380952380952</v>
      </c>
      <c r="N66" s="18">
        <f t="shared" si="20"/>
        <v>8938</v>
      </c>
      <c r="O66" s="17">
        <f t="shared" si="20"/>
        <v>7896.047619047619</v>
      </c>
      <c r="P66" s="17">
        <f t="shared" si="20"/>
        <v>7247.85</v>
      </c>
    </row>
    <row r="67" spans="1:16" ht="11.25">
      <c r="A67" s="2" t="s">
        <v>60</v>
      </c>
      <c r="C67" s="18">
        <f aca="true" t="shared" si="21" ref="C67:P67">+C16/C64</f>
        <v>13698.130434782608</v>
      </c>
      <c r="D67" s="18">
        <f t="shared" si="21"/>
        <v>16499.130434782608</v>
      </c>
      <c r="E67" s="18">
        <f t="shared" si="21"/>
        <v>15587.826086956522</v>
      </c>
      <c r="F67" s="19">
        <f t="shared" si="21"/>
        <v>17345.08695652174</v>
      </c>
      <c r="G67" s="17">
        <f t="shared" si="21"/>
        <v>16938.956521739132</v>
      </c>
      <c r="H67" s="17">
        <f t="shared" si="21"/>
        <v>18477.619047619046</v>
      </c>
      <c r="I67" s="17">
        <f t="shared" si="21"/>
        <v>17242.52380952381</v>
      </c>
      <c r="J67" s="17">
        <f t="shared" si="21"/>
        <v>16129</v>
      </c>
      <c r="K67" s="21">
        <f t="shared" si="21"/>
        <v>12402.5</v>
      </c>
      <c r="L67" s="18">
        <f t="shared" si="21"/>
        <v>9777.42857142857</v>
      </c>
      <c r="M67" s="18">
        <f t="shared" si="21"/>
        <v>8660.809523809523</v>
      </c>
      <c r="N67" s="18">
        <f t="shared" si="21"/>
        <v>7950.714285714285</v>
      </c>
      <c r="O67" s="17">
        <f t="shared" si="21"/>
        <v>7023.523809523809</v>
      </c>
      <c r="P67" s="17">
        <f t="shared" si="21"/>
        <v>6482.6</v>
      </c>
    </row>
    <row r="68" spans="1:16" ht="11.25">
      <c r="A68" s="3" t="s">
        <v>61</v>
      </c>
      <c r="B68" s="3"/>
      <c r="C68" s="25">
        <f aca="true" t="shared" si="22" ref="C68:P68">+C40/C64</f>
        <v>267.8695652173913</v>
      </c>
      <c r="D68" s="25">
        <f t="shared" si="22"/>
        <v>235.3913043478261</v>
      </c>
      <c r="E68" s="25">
        <f t="shared" si="22"/>
        <v>147.56521739130434</v>
      </c>
      <c r="F68" s="26">
        <f t="shared" si="22"/>
        <v>75.82608695652173</v>
      </c>
      <c r="G68" s="25">
        <f t="shared" si="22"/>
        <v>365.82608695652175</v>
      </c>
      <c r="H68" s="25">
        <f t="shared" si="22"/>
        <v>282.85714285714283</v>
      </c>
      <c r="I68" s="25">
        <f t="shared" si="22"/>
        <v>173.33333333333334</v>
      </c>
      <c r="J68" s="25">
        <f t="shared" si="22"/>
        <v>85.18181818181819</v>
      </c>
      <c r="K68" s="27">
        <f t="shared" si="22"/>
        <v>275.40909090909093</v>
      </c>
      <c r="L68" s="25">
        <f t="shared" si="22"/>
        <v>200.33333333333334</v>
      </c>
      <c r="M68" s="25">
        <f t="shared" si="22"/>
        <v>127.76190476190476</v>
      </c>
      <c r="N68" s="25">
        <f t="shared" si="22"/>
        <v>58.333333333333336</v>
      </c>
      <c r="O68" s="25">
        <f t="shared" si="22"/>
        <v>229.95238095238096</v>
      </c>
      <c r="P68" s="25">
        <f t="shared" si="22"/>
        <v>134.9</v>
      </c>
    </row>
    <row r="69" spans="1:14" ht="11.25">
      <c r="A69" s="11" t="s">
        <v>62</v>
      </c>
      <c r="E69" s="18"/>
      <c r="F69" s="28"/>
      <c r="K69" s="30"/>
      <c r="L69" s="4"/>
      <c r="M69" s="4"/>
      <c r="N69" s="4"/>
    </row>
    <row r="70" spans="1:16" ht="11.25">
      <c r="A70" s="2" t="s">
        <v>63</v>
      </c>
      <c r="C70" s="35">
        <f aca="true" t="shared" si="23" ref="C70:I70">(C10/G10)-1</f>
        <v>-0.07050592775044284</v>
      </c>
      <c r="D70" s="33">
        <f t="shared" si="23"/>
        <v>0.26786069486805464</v>
      </c>
      <c r="E70" s="33">
        <f t="shared" si="23"/>
        <v>0.25171068479759806</v>
      </c>
      <c r="F70" s="34">
        <f t="shared" si="23"/>
        <v>0.3191398001675101</v>
      </c>
      <c r="G70" s="35">
        <f t="shared" si="23"/>
        <v>0.4772077869280893</v>
      </c>
      <c r="H70" s="35">
        <f t="shared" si="23"/>
        <v>0.8602600225871977</v>
      </c>
      <c r="I70" s="35">
        <f t="shared" si="23"/>
        <v>0.8742372936807838</v>
      </c>
      <c r="J70" s="35">
        <f>+(J10/N10)-1</f>
        <v>0.8787482546929368</v>
      </c>
      <c r="K70" s="36">
        <f>+(K10/O10)-1</f>
        <v>0.7595046009370481</v>
      </c>
      <c r="L70" s="33">
        <f>+(L10/173128)-1</f>
        <v>0.49853865348181703</v>
      </c>
      <c r="M70" s="33">
        <f>+(M10/162051)-1</f>
        <v>0.5089323731417887</v>
      </c>
      <c r="N70" s="33">
        <f>+(N10/158223)-1</f>
        <v>0.4258672885737218</v>
      </c>
      <c r="O70" s="35">
        <f>+(O10/P10)-1</f>
        <v>0.10621209637764295</v>
      </c>
      <c r="P70" s="35">
        <f>+(P10/126314)-1</f>
        <v>0.40070776002660047</v>
      </c>
    </row>
    <row r="71" spans="1:16" ht="11.25">
      <c r="A71" s="2" t="s">
        <v>64</v>
      </c>
      <c r="C71" s="35">
        <f aca="true" t="shared" si="24" ref="C71:I71">(C12/G12)-1</f>
        <v>-0.06036931116983646</v>
      </c>
      <c r="D71" s="33">
        <f t="shared" si="24"/>
        <v>0.03679572614917004</v>
      </c>
      <c r="E71" s="33">
        <f t="shared" si="24"/>
        <v>-0.3043508545127299</v>
      </c>
      <c r="F71" s="34">
        <f t="shared" si="24"/>
        <v>-0.29733669571509136</v>
      </c>
      <c r="G71" s="35">
        <f t="shared" si="24"/>
        <v>-0.00827031596262362</v>
      </c>
      <c r="H71" s="35">
        <f t="shared" si="24"/>
        <v>0.4078339608171233</v>
      </c>
      <c r="I71" s="35">
        <f t="shared" si="24"/>
        <v>0.798258447232354</v>
      </c>
      <c r="J71" s="35">
        <f aca="true" t="shared" si="25" ref="J71:P71">SUM(J72:J73)</f>
        <v>1.0028130294409103</v>
      </c>
      <c r="K71" s="36">
        <f t="shared" si="25"/>
        <v>0.8478020950807215</v>
      </c>
      <c r="L71" s="33">
        <f t="shared" si="25"/>
        <v>0.7473110675583752</v>
      </c>
      <c r="M71" s="33">
        <f t="shared" si="25"/>
        <v>0.7623859426578063</v>
      </c>
      <c r="N71" s="33">
        <f t="shared" si="25"/>
        <v>0.6183770677608642</v>
      </c>
      <c r="O71" s="35">
        <f t="shared" si="25"/>
        <v>0.14390474416551124</v>
      </c>
      <c r="P71" s="35">
        <f t="shared" si="25"/>
        <v>0.3191100191100191</v>
      </c>
    </row>
    <row r="72" spans="2:16" ht="11.25">
      <c r="B72" s="2" t="s">
        <v>15</v>
      </c>
      <c r="C72" s="35">
        <v>0</v>
      </c>
      <c r="D72" s="33">
        <v>0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3">
        <v>0</v>
      </c>
      <c r="M72" s="33">
        <v>0</v>
      </c>
      <c r="N72" s="33">
        <v>0</v>
      </c>
      <c r="O72" s="35">
        <v>0</v>
      </c>
      <c r="P72" s="35">
        <v>0</v>
      </c>
    </row>
    <row r="73" spans="2:16" ht="11.25">
      <c r="B73" s="2" t="s">
        <v>16</v>
      </c>
      <c r="C73" s="35">
        <f aca="true" t="shared" si="26" ref="C73:I73">(C14/G14)-1</f>
        <v>-0.06036931116983646</v>
      </c>
      <c r="D73" s="33">
        <f t="shared" si="26"/>
        <v>0.03679572614917004</v>
      </c>
      <c r="E73" s="33">
        <f t="shared" si="26"/>
        <v>-0.3043508545127299</v>
      </c>
      <c r="F73" s="34">
        <f t="shared" si="26"/>
        <v>-0.29733669571509136</v>
      </c>
      <c r="G73" s="35">
        <f t="shared" si="26"/>
        <v>-0.00827031596262362</v>
      </c>
      <c r="H73" s="35">
        <f t="shared" si="26"/>
        <v>0.4078339608171233</v>
      </c>
      <c r="I73" s="35">
        <f t="shared" si="26"/>
        <v>0.798258447232354</v>
      </c>
      <c r="J73" s="35">
        <f>+(J14/N14)-1</f>
        <v>1.0028130294409103</v>
      </c>
      <c r="K73" s="36">
        <f>+(K14/O14)-1</f>
        <v>0.8478020950807215</v>
      </c>
      <c r="L73" s="33">
        <f>+(L10/148479)-1</f>
        <v>0.7473110675583752</v>
      </c>
      <c r="M73" s="33">
        <f>+(M10/138746)-1</f>
        <v>0.7623859426578063</v>
      </c>
      <c r="N73" s="33">
        <f>+(N10/139402)-1</f>
        <v>0.6183770677608642</v>
      </c>
      <c r="O73" s="35">
        <f>+(O14/P14)-1</f>
        <v>0.14390474416551124</v>
      </c>
      <c r="P73" s="35">
        <f>+(P14/109890)-1</f>
        <v>0.3191100191100191</v>
      </c>
    </row>
    <row r="74" spans="1:16" ht="11.25">
      <c r="A74" s="2" t="s">
        <v>65</v>
      </c>
      <c r="C74" s="35">
        <f aca="true" t="shared" si="27" ref="C74:I74">(C16/G16)-1</f>
        <v>-0.19132383289356159</v>
      </c>
      <c r="D74" s="33">
        <f t="shared" si="27"/>
        <v>-0.02203437878514547</v>
      </c>
      <c r="E74" s="33">
        <f t="shared" si="27"/>
        <v>-0.009867630691562712</v>
      </c>
      <c r="F74" s="34">
        <f t="shared" si="27"/>
        <v>0.12427924855849715</v>
      </c>
      <c r="G74" s="35">
        <f t="shared" si="27"/>
        <v>0.4278499569368346</v>
      </c>
      <c r="H74" s="35">
        <f t="shared" si="27"/>
        <v>0.8898239872203229</v>
      </c>
      <c r="I74" s="35">
        <f t="shared" si="27"/>
        <v>0.9908674543785085</v>
      </c>
      <c r="J74" s="35">
        <f aca="true" t="shared" si="28" ref="J74:P74">SUM(J75:J76)</f>
        <v>1.1252238493097355</v>
      </c>
      <c r="K74" s="36">
        <f t="shared" si="28"/>
        <v>0.8499396585623822</v>
      </c>
      <c r="L74" s="33">
        <f t="shared" si="28"/>
        <v>0.5322149754488605</v>
      </c>
      <c r="M74" s="33">
        <f t="shared" si="28"/>
        <v>0.42028159335296</v>
      </c>
      <c r="N74" s="33">
        <f t="shared" si="28"/>
        <v>0.3167898294123679</v>
      </c>
      <c r="O74" s="35">
        <f t="shared" si="28"/>
        <v>0.13761453737697837</v>
      </c>
      <c r="P74" s="35">
        <f t="shared" si="28"/>
        <v>0.13386680659407935</v>
      </c>
    </row>
    <row r="75" spans="2:16" ht="11.25">
      <c r="B75" s="2" t="s">
        <v>15</v>
      </c>
      <c r="C75" s="35">
        <v>0</v>
      </c>
      <c r="D75" s="33">
        <v>0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0</v>
      </c>
      <c r="K75" s="36">
        <v>0</v>
      </c>
      <c r="L75" s="33">
        <v>0</v>
      </c>
      <c r="M75" s="33">
        <v>0</v>
      </c>
      <c r="N75" s="33">
        <v>0</v>
      </c>
      <c r="O75" s="35">
        <v>0</v>
      </c>
      <c r="P75" s="35">
        <v>0</v>
      </c>
    </row>
    <row r="76" spans="2:16" ht="11.25">
      <c r="B76" s="2" t="s">
        <v>16</v>
      </c>
      <c r="C76" s="35">
        <f aca="true" t="shared" si="29" ref="C76:I76">(C21/G21)-1</f>
        <v>-0.19132383289356159</v>
      </c>
      <c r="D76" s="33">
        <f t="shared" si="29"/>
        <v>-0.02203437878514547</v>
      </c>
      <c r="E76" s="33">
        <f t="shared" si="29"/>
        <v>-0.009867630691562712</v>
      </c>
      <c r="F76" s="34">
        <f t="shared" si="29"/>
        <v>0.12427924855849715</v>
      </c>
      <c r="G76" s="35">
        <f t="shared" si="29"/>
        <v>0.4278499569368346</v>
      </c>
      <c r="H76" s="35">
        <f t="shared" si="29"/>
        <v>0.8898239872203229</v>
      </c>
      <c r="I76" s="35">
        <f t="shared" si="29"/>
        <v>0.9908674543785085</v>
      </c>
      <c r="J76" s="35">
        <f>+(J21/N21)-1</f>
        <v>1.1252238493097355</v>
      </c>
      <c r="K76" s="36">
        <f>+(K21/O21)-1</f>
        <v>0.8499396585623822</v>
      </c>
      <c r="L76" s="33">
        <f>+(L21/134006)-1</f>
        <v>0.5322149754488605</v>
      </c>
      <c r="M76" s="33">
        <f>+(M21/128057)-1</f>
        <v>0.42028159335296</v>
      </c>
      <c r="N76" s="33">
        <f>+(N21/126797)-1</f>
        <v>0.3167898294123679</v>
      </c>
      <c r="O76" s="35">
        <f>+(O21/P21)-1</f>
        <v>0.13761453737697837</v>
      </c>
      <c r="P76" s="35">
        <f>+(P21/114345)-1</f>
        <v>0.13386680659407935</v>
      </c>
    </row>
    <row r="77" spans="1:16" ht="11.25">
      <c r="A77" s="2" t="s">
        <v>66</v>
      </c>
      <c r="C77" s="35">
        <f aca="true" t="shared" si="30" ref="C77:I77">(C25/G25)-1</f>
        <v>0.24769830740160015</v>
      </c>
      <c r="D77" s="33">
        <f t="shared" si="30"/>
        <v>0.35220322335818555</v>
      </c>
      <c r="E77" s="33">
        <f t="shared" si="30"/>
        <v>0.40633862381213004</v>
      </c>
      <c r="F77" s="34">
        <f t="shared" si="30"/>
        <v>0.17546261537782093</v>
      </c>
      <c r="G77" s="35">
        <f t="shared" si="30"/>
        <v>0.19489815526518073</v>
      </c>
      <c r="H77" s="35">
        <f t="shared" si="30"/>
        <v>0.5924214417744917</v>
      </c>
      <c r="I77" s="35">
        <f t="shared" si="30"/>
        <v>0.3361031709100579</v>
      </c>
      <c r="J77" s="33">
        <f>+(J25/N25)-1</f>
        <v>0.6667648141332352</v>
      </c>
      <c r="K77" s="36">
        <f>+(K25/O25)-1</f>
        <v>0.68455126648863</v>
      </c>
      <c r="L77" s="33">
        <f>+(L25/10959)-1</f>
        <v>0.2835112692763939</v>
      </c>
      <c r="M77" s="33">
        <f>+(M25/9767)-1</f>
        <v>0.5401863417630797</v>
      </c>
      <c r="N77" s="33">
        <f>+(N25/11079)-1</f>
        <v>0.22619369979240012</v>
      </c>
      <c r="O77" s="33">
        <f>+(O25/P25)-1</f>
        <v>0.23335662241740684</v>
      </c>
      <c r="P77" s="33">
        <f>(P25/7669)-1</f>
        <v>0.3064284782892164</v>
      </c>
    </row>
    <row r="78" spans="1:16" ht="11.25">
      <c r="A78" s="3" t="s">
        <v>67</v>
      </c>
      <c r="B78" s="3"/>
      <c r="C78" s="40">
        <f aca="true" t="shared" si="31" ref="C78:I78">(C40/G40)-1</f>
        <v>-0.26776800570477777</v>
      </c>
      <c r="D78" s="40">
        <f t="shared" si="31"/>
        <v>-0.0885521885521886</v>
      </c>
      <c r="E78" s="40">
        <f t="shared" si="31"/>
        <v>-0.06758241758241756</v>
      </c>
      <c r="F78" s="41">
        <f t="shared" si="31"/>
        <v>-0.06937033084311628</v>
      </c>
      <c r="G78" s="40">
        <f t="shared" si="31"/>
        <v>0.38867799966991257</v>
      </c>
      <c r="H78" s="40">
        <f t="shared" si="31"/>
        <v>0.41193249346327554</v>
      </c>
      <c r="I78" s="40">
        <f t="shared" si="31"/>
        <v>0.3566902720834886</v>
      </c>
      <c r="J78" s="40">
        <f>+(J40/N40)-1</f>
        <v>0.5297959183673469</v>
      </c>
      <c r="K78" s="42">
        <f>+(K40/O40)-1</f>
        <v>0.25471112031476495</v>
      </c>
      <c r="L78" s="40">
        <f>+(L40/3434)-1</f>
        <v>0.22510192195690149</v>
      </c>
      <c r="M78" s="40">
        <f>+(M40/2241)-1</f>
        <v>0.1972333779562696</v>
      </c>
      <c r="N78" s="40">
        <f>+(N40/1061)-1</f>
        <v>0.1545711592836947</v>
      </c>
      <c r="O78" s="40">
        <f>+(O40/P40)-1</f>
        <v>0.7898443291326909</v>
      </c>
      <c r="P78" s="40">
        <f>+(P40/2668)-1</f>
        <v>0.011244377811094441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2017-06-16T17:20:04Z</dcterms:created>
  <dcterms:modified xsi:type="dcterms:W3CDTF">2017-06-16T17:20:07Z</dcterms:modified>
  <cp:category/>
  <cp:version/>
  <cp:contentType/>
  <cp:contentStatus/>
</cp:coreProperties>
</file>