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Prov. B.Aires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<sst xmlns="http://schemas.openxmlformats.org/spreadsheetml/2006/main" count="89" uniqueCount="68">
  <si>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19-17</t>
  </si>
  <si>
    <t>BANCO DE LA PROVINCIA DE BUENOS AIRES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</si>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</sst>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0" xfId="46" applyNumberFormat="1" applyFont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3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7" xfId="0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/>
    </xf>
    <xf numFmtId="43" fontId="3" fillId="0" borderId="16" xfId="46" applyFont="1" applyBorder="1" applyAlignment="1">
      <alignment/>
    </xf>
    <xf numFmtId="10" fontId="3" fillId="0" borderId="0" xfId="52" applyNumberFormat="1" applyFont="1" applyBorder="1" applyAlignment="1">
      <alignment/>
    </xf>
    <xf numFmtId="204" fontId="3" fillId="0" borderId="0" xfId="52" applyNumberFormat="1" applyFont="1" applyBorder="1" applyAlignment="1">
      <alignment/>
    </xf>
    <xf numFmtId="43" fontId="3" fillId="0" borderId="0" xfId="46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43" fontId="3" fillId="0" borderId="0" xfId="46" applyFont="1" applyAlignment="1">
      <alignment/>
    </xf>
    <xf numFmtId="10" fontId="3" fillId="0" borderId="10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43" fontId="3" fillId="0" borderId="10" xfId="46" applyFont="1" applyBorder="1" applyAlignment="1">
      <alignment/>
    </xf>
    <xf numFmtId="43" fontId="3" fillId="0" borderId="14" xfId="46" applyFont="1" applyBorder="1" applyAlignment="1">
      <alignment/>
    </xf>
    <xf numFmtId="10" fontId="3" fillId="0" borderId="14" xfId="52" applyNumberFormat="1" applyFont="1" applyBorder="1" applyAlignment="1">
      <alignment/>
    </xf>
    <xf numFmtId="0" fontId="3" fillId="0" borderId="0" xfId="0" applyFont="1" applyFill="1" applyAlignment="1">
      <alignment/>
    </xf>
    <xf numFmtId="10" fontId="3" fillId="0" borderId="17" xfId="52" applyNumberFormat="1" applyFont="1" applyFill="1" applyBorder="1" applyAlignment="1">
      <alignment/>
    </xf>
    <xf numFmtId="10" fontId="3" fillId="0" borderId="0" xfId="5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0" fontId="3" fillId="0" borderId="13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204" fontId="3" fillId="0" borderId="17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3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"/>
    </sheetView>
  </sheetViews>
  <sheetFormatPr defaultColWidth="11.421875" defaultRowHeight="12.75"/>
  <cols>
    <col min="1" max="1" width="3.57421875" style="3" customWidth="1"/>
    <col min="2" max="2" width="28.7109375" style="3" customWidth="1"/>
    <col min="3" max="3" width="8.28125" style="3" customWidth="1"/>
    <col min="4" max="4" width="7.7109375" style="3" bestFit="1" customWidth="1"/>
    <col min="5" max="6" width="7.57421875" style="3" customWidth="1"/>
    <col min="7" max="7" width="7.8515625" style="3" customWidth="1"/>
    <col min="8" max="8" width="7.7109375" style="3" bestFit="1" customWidth="1"/>
    <col min="9" max="9" width="7.7109375" style="3" customWidth="1"/>
    <col min="10" max="10" width="7.57421875" style="3" customWidth="1"/>
    <col min="11" max="11" width="8.00390625" style="3" customWidth="1"/>
    <col min="12" max="12" width="7.7109375" style="3" bestFit="1" customWidth="1"/>
    <col min="13" max="13" width="7.8515625" style="3" customWidth="1"/>
    <col min="14" max="14" width="7.7109375" style="3" customWidth="1"/>
    <col min="15" max="15" width="6.28125" style="3" hidden="1" customWidth="1"/>
    <col min="16" max="16" width="6.421875" style="3" hidden="1" customWidth="1"/>
    <col min="17" max="19" width="11.421875" style="3" customWidth="1"/>
    <col min="20" max="16384" width="11.421875" style="1" customWidth="1"/>
  </cols>
  <sheetData>
    <row r="1" spans="2:16" ht="11.25">
      <c r="B1" s="57"/>
      <c r="C1" s="57"/>
      <c r="D1" s="57"/>
      <c r="E1" s="57"/>
      <c r="F1" s="57"/>
      <c r="G1" s="57"/>
      <c r="H1" s="57" t="s">
        <v>0</v>
      </c>
      <c r="I1" s="57"/>
      <c r="J1" s="57"/>
      <c r="K1" s="57"/>
      <c r="L1" s="57"/>
      <c r="M1" s="57"/>
      <c r="N1" s="57"/>
      <c r="O1" s="57"/>
      <c r="P1" s="57"/>
    </row>
    <row r="2" spans="2:16" ht="11.25">
      <c r="B2" s="57"/>
      <c r="C2" s="57"/>
      <c r="D2" s="57"/>
      <c r="E2" s="57"/>
      <c r="F2" s="57"/>
      <c r="G2" s="57"/>
      <c r="H2" s="57" t="s">
        <v>1</v>
      </c>
      <c r="I2" s="57"/>
      <c r="J2" s="57"/>
      <c r="K2" s="57"/>
      <c r="L2" s="57"/>
      <c r="M2" s="57"/>
      <c r="N2" s="57"/>
      <c r="O2" s="57"/>
      <c r="P2" s="57"/>
    </row>
    <row r="3" spans="2:16" ht="11.25">
      <c r="B3" s="57"/>
      <c r="C3" s="57"/>
      <c r="D3" s="57"/>
      <c r="E3" s="57"/>
      <c r="F3" s="57"/>
      <c r="G3" s="57"/>
      <c r="H3" s="57" t="s">
        <v>2</v>
      </c>
      <c r="I3" s="57"/>
      <c r="J3" s="57"/>
      <c r="K3" s="57"/>
      <c r="L3" s="57"/>
      <c r="M3" s="57"/>
      <c r="N3" s="57"/>
      <c r="O3" s="57"/>
      <c r="P3" s="57"/>
    </row>
    <row r="4" spans="1:16" ht="11.25">
      <c r="A4" s="1"/>
      <c r="B4" s="56"/>
      <c r="C4" s="56"/>
      <c r="D4" s="56"/>
      <c r="E4" s="56"/>
      <c r="F4" s="56"/>
      <c r="G4" s="56"/>
      <c r="H4" s="56" t="s">
        <v>3</v>
      </c>
      <c r="I4" s="56"/>
      <c r="J4" s="56"/>
      <c r="K4" s="56"/>
      <c r="L4" s="56"/>
      <c r="M4" s="56"/>
      <c r="N4" s="56"/>
      <c r="O4" s="56"/>
      <c r="P4" s="56"/>
    </row>
    <row r="5" spans="1:16" ht="11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1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  <c r="P6" s="4"/>
    </row>
    <row r="7" spans="1:16" ht="12.75" customHeight="1">
      <c r="A7" s="6"/>
      <c r="B7" s="6"/>
      <c r="C7" s="59">
        <v>2002</v>
      </c>
      <c r="D7" s="59"/>
      <c r="E7" s="59"/>
      <c r="F7" s="60"/>
      <c r="G7" s="59">
        <v>2001</v>
      </c>
      <c r="H7" s="59"/>
      <c r="I7" s="59"/>
      <c r="J7" s="59"/>
      <c r="K7" s="58">
        <v>2000</v>
      </c>
      <c r="L7" s="59"/>
      <c r="M7" s="59"/>
      <c r="N7" s="59"/>
      <c r="O7" s="59" t="s">
        <v>4</v>
      </c>
      <c r="P7" s="59"/>
    </row>
    <row r="8" spans="1:16" ht="11.25">
      <c r="A8" s="7"/>
      <c r="B8" s="7"/>
      <c r="C8" s="8" t="s">
        <v>5</v>
      </c>
      <c r="D8" s="8" t="s">
        <v>6</v>
      </c>
      <c r="E8" s="7" t="s">
        <v>7</v>
      </c>
      <c r="F8" s="9" t="s">
        <v>8</v>
      </c>
      <c r="G8" s="8" t="s">
        <v>5</v>
      </c>
      <c r="H8" s="8" t="s">
        <v>6</v>
      </c>
      <c r="I8" s="7" t="s">
        <v>7</v>
      </c>
      <c r="J8" s="7" t="s">
        <v>8</v>
      </c>
      <c r="K8" s="10" t="s">
        <v>5</v>
      </c>
      <c r="L8" s="7" t="s">
        <v>6</v>
      </c>
      <c r="M8" s="7" t="s">
        <v>7</v>
      </c>
      <c r="N8" s="8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5"/>
      <c r="K9" s="16"/>
      <c r="L9" s="17"/>
      <c r="M9" s="17"/>
      <c r="N9" s="17"/>
      <c r="O9" s="15"/>
      <c r="P9" s="15"/>
    </row>
    <row r="10" spans="1:16" ht="11.25">
      <c r="A10" s="3" t="s">
        <v>12</v>
      </c>
      <c r="C10" s="18">
        <v>547108</v>
      </c>
      <c r="D10" s="18">
        <v>572160</v>
      </c>
      <c r="E10" s="19">
        <v>538750</v>
      </c>
      <c r="F10" s="20">
        <v>700300</v>
      </c>
      <c r="G10" s="3">
        <v>843079</v>
      </c>
      <c r="H10" s="18">
        <v>685073</v>
      </c>
      <c r="I10" s="18">
        <v>412246</v>
      </c>
      <c r="J10" s="18">
        <v>362125</v>
      </c>
      <c r="K10" s="21">
        <v>397550</v>
      </c>
      <c r="L10" s="19">
        <v>394342</v>
      </c>
      <c r="M10" s="19">
        <v>424700</v>
      </c>
      <c r="N10" s="19">
        <v>478976</v>
      </c>
      <c r="O10" s="18">
        <v>467772</v>
      </c>
      <c r="P10" s="18">
        <v>435205</v>
      </c>
    </row>
    <row r="11" spans="1:16" ht="11.25">
      <c r="A11" s="3" t="s">
        <v>13</v>
      </c>
      <c r="C11" s="18">
        <v>287700</v>
      </c>
      <c r="D11" s="18">
        <v>312036</v>
      </c>
      <c r="E11" s="19">
        <v>283252</v>
      </c>
      <c r="F11" s="20">
        <v>362091</v>
      </c>
      <c r="G11" s="3">
        <v>477923</v>
      </c>
      <c r="H11" s="18">
        <v>385638</v>
      </c>
      <c r="I11" s="18">
        <v>255972</v>
      </c>
      <c r="J11" s="18">
        <v>246279</v>
      </c>
      <c r="K11" s="21">
        <v>281606</v>
      </c>
      <c r="L11" s="19">
        <v>272994</v>
      </c>
      <c r="M11" s="19">
        <v>287606</v>
      </c>
      <c r="N11" s="19">
        <v>296544</v>
      </c>
      <c r="O11" s="18">
        <v>255930</v>
      </c>
      <c r="P11" s="18">
        <v>136583</v>
      </c>
    </row>
    <row r="12" spans="1:16" ht="11.25">
      <c r="A12" s="3" t="s">
        <v>14</v>
      </c>
      <c r="C12" s="19">
        <f aca="true" t="shared" si="0" ref="C12:P12">C13+C14</f>
        <v>82301</v>
      </c>
      <c r="D12" s="19">
        <f t="shared" si="0"/>
        <v>82982</v>
      </c>
      <c r="E12" s="19">
        <f t="shared" si="0"/>
        <v>84662</v>
      </c>
      <c r="F12" s="20">
        <f t="shared" si="0"/>
        <v>87701</v>
      </c>
      <c r="G12" s="18">
        <f t="shared" si="0"/>
        <v>69543</v>
      </c>
      <c r="H12" s="18">
        <f t="shared" si="0"/>
        <v>43541</v>
      </c>
      <c r="I12" s="18">
        <f t="shared" si="0"/>
        <v>39821</v>
      </c>
      <c r="J12" s="18">
        <f t="shared" si="0"/>
        <v>41372</v>
      </c>
      <c r="K12" s="21">
        <f t="shared" si="0"/>
        <v>40308</v>
      </c>
      <c r="L12" s="19">
        <f t="shared" si="0"/>
        <v>43778</v>
      </c>
      <c r="M12" s="19">
        <f t="shared" si="0"/>
        <v>40341</v>
      </c>
      <c r="N12" s="19">
        <f t="shared" si="0"/>
        <v>77703</v>
      </c>
      <c r="O12" s="18">
        <f t="shared" si="0"/>
        <v>76115</v>
      </c>
      <c r="P12" s="18">
        <f t="shared" si="0"/>
        <v>168456</v>
      </c>
    </row>
    <row r="13" spans="2:16" ht="11.25">
      <c r="B13" s="3" t="s">
        <v>15</v>
      </c>
      <c r="C13" s="19">
        <v>0</v>
      </c>
      <c r="D13" s="19">
        <v>0</v>
      </c>
      <c r="E13" s="19">
        <v>0</v>
      </c>
      <c r="F13" s="20">
        <v>0</v>
      </c>
      <c r="G13" s="18">
        <v>0</v>
      </c>
      <c r="H13" s="18">
        <v>0</v>
      </c>
      <c r="I13" s="18">
        <v>0</v>
      </c>
      <c r="J13" s="18">
        <v>0</v>
      </c>
      <c r="K13" s="21"/>
      <c r="L13" s="19"/>
      <c r="M13" s="19">
        <v>0</v>
      </c>
      <c r="N13" s="19">
        <v>0</v>
      </c>
      <c r="O13" s="18">
        <v>0</v>
      </c>
      <c r="P13" s="18">
        <v>0</v>
      </c>
    </row>
    <row r="14" spans="2:16" ht="11.25">
      <c r="B14" s="3" t="s">
        <v>16</v>
      </c>
      <c r="C14" s="18">
        <v>82301</v>
      </c>
      <c r="D14" s="18">
        <v>82982</v>
      </c>
      <c r="E14" s="19">
        <v>84662</v>
      </c>
      <c r="F14" s="20">
        <v>87701</v>
      </c>
      <c r="G14" s="3">
        <v>69543</v>
      </c>
      <c r="H14" s="18">
        <v>43541</v>
      </c>
      <c r="I14" s="18">
        <v>39821</v>
      </c>
      <c r="J14" s="18">
        <v>41372</v>
      </c>
      <c r="K14" s="21">
        <v>40308</v>
      </c>
      <c r="L14" s="19">
        <v>43778</v>
      </c>
      <c r="M14" s="19">
        <v>40341</v>
      </c>
      <c r="N14" s="19">
        <v>77703</v>
      </c>
      <c r="O14" s="18">
        <v>76115</v>
      </c>
      <c r="P14" s="18">
        <v>168456</v>
      </c>
    </row>
    <row r="15" spans="1:16" ht="11.25">
      <c r="A15" s="3" t="s">
        <v>17</v>
      </c>
      <c r="C15" s="18">
        <v>166626</v>
      </c>
      <c r="D15" s="18">
        <v>166572</v>
      </c>
      <c r="E15" s="19">
        <v>159690</v>
      </c>
      <c r="F15" s="20">
        <v>239220</v>
      </c>
      <c r="G15" s="3">
        <v>278527</v>
      </c>
      <c r="H15" s="18">
        <v>236328</v>
      </c>
      <c r="I15" s="18">
        <v>94515</v>
      </c>
      <c r="J15" s="18">
        <v>50643</v>
      </c>
      <c r="K15" s="21">
        <v>51725</v>
      </c>
      <c r="L15" s="19">
        <v>55527</v>
      </c>
      <c r="M15" s="19">
        <v>71799</v>
      </c>
      <c r="N15" s="19">
        <v>79731</v>
      </c>
      <c r="O15" s="18">
        <v>108529</v>
      </c>
      <c r="P15" s="18">
        <v>114453</v>
      </c>
    </row>
    <row r="16" spans="1:16" ht="11.25">
      <c r="A16" s="3" t="s">
        <v>18</v>
      </c>
      <c r="C16" s="19">
        <f aca="true" t="shared" si="1" ref="C16:P16">C17+C21</f>
        <v>183806</v>
      </c>
      <c r="D16" s="19">
        <f t="shared" si="1"/>
        <v>209138</v>
      </c>
      <c r="E16" s="19">
        <f t="shared" si="1"/>
        <v>181324</v>
      </c>
      <c r="F16" s="20">
        <f t="shared" si="1"/>
        <v>266760</v>
      </c>
      <c r="G16" s="18">
        <f t="shared" si="1"/>
        <v>641999</v>
      </c>
      <c r="H16" s="18">
        <f t="shared" si="1"/>
        <v>470970</v>
      </c>
      <c r="I16" s="18">
        <f t="shared" si="1"/>
        <v>182263</v>
      </c>
      <c r="J16" s="18">
        <f t="shared" si="1"/>
        <v>136303</v>
      </c>
      <c r="K16" s="21">
        <f t="shared" si="1"/>
        <v>157284</v>
      </c>
      <c r="L16" s="19">
        <f t="shared" si="1"/>
        <v>171378</v>
      </c>
      <c r="M16" s="19">
        <f t="shared" si="1"/>
        <v>198310</v>
      </c>
      <c r="N16" s="19">
        <f t="shared" si="1"/>
        <v>227215</v>
      </c>
      <c r="O16" s="18">
        <f t="shared" si="1"/>
        <v>218443</v>
      </c>
      <c r="P16" s="18">
        <f t="shared" si="1"/>
        <v>206002</v>
      </c>
    </row>
    <row r="17" spans="2:16" ht="11.25">
      <c r="B17" s="3" t="s">
        <v>15</v>
      </c>
      <c r="C17" s="19">
        <f aca="true" t="shared" si="2" ref="C17:P17">SUM(C18:C20)</f>
        <v>0</v>
      </c>
      <c r="D17" s="19">
        <f t="shared" si="2"/>
        <v>0</v>
      </c>
      <c r="E17" s="19">
        <f t="shared" si="2"/>
        <v>0</v>
      </c>
      <c r="F17" s="20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21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8">
        <f t="shared" si="2"/>
        <v>0</v>
      </c>
      <c r="P17" s="18">
        <f t="shared" si="2"/>
        <v>0</v>
      </c>
    </row>
    <row r="18" spans="2:16" ht="11.25">
      <c r="B18" s="3" t="s">
        <v>19</v>
      </c>
      <c r="C18" s="19">
        <v>0</v>
      </c>
      <c r="D18" s="19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3" t="s">
        <v>20</v>
      </c>
      <c r="C19" s="19">
        <v>0</v>
      </c>
      <c r="D19" s="19">
        <v>0</v>
      </c>
      <c r="E19" s="19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21">
        <v>0</v>
      </c>
      <c r="L19" s="19">
        <v>0</v>
      </c>
      <c r="M19" s="19">
        <v>0</v>
      </c>
      <c r="N19" s="19">
        <v>0</v>
      </c>
      <c r="O19" s="18">
        <v>0</v>
      </c>
      <c r="P19" s="18">
        <v>0</v>
      </c>
    </row>
    <row r="20" spans="2:16" ht="11.25">
      <c r="B20" s="3" t="s">
        <v>21</v>
      </c>
      <c r="C20" s="19">
        <v>0</v>
      </c>
      <c r="D20" s="19">
        <v>0</v>
      </c>
      <c r="E20" s="19">
        <v>0</v>
      </c>
      <c r="F20" s="20">
        <v>0</v>
      </c>
      <c r="G20" s="18">
        <v>0</v>
      </c>
      <c r="H20" s="18">
        <v>0</v>
      </c>
      <c r="I20" s="18">
        <v>0</v>
      </c>
      <c r="J20" s="18">
        <v>0</v>
      </c>
      <c r="K20" s="21">
        <v>0</v>
      </c>
      <c r="L20" s="19">
        <v>0</v>
      </c>
      <c r="M20" s="19">
        <v>0</v>
      </c>
      <c r="N20" s="19">
        <v>0</v>
      </c>
      <c r="O20" s="18">
        <v>0</v>
      </c>
      <c r="P20" s="18">
        <v>0</v>
      </c>
    </row>
    <row r="21" spans="2:16" ht="11.25">
      <c r="B21" s="3" t="s">
        <v>16</v>
      </c>
      <c r="C21" s="19">
        <f>SUM(C22:C24)</f>
        <v>183806</v>
      </c>
      <c r="D21" s="19">
        <f>SUM(D22:D24)</f>
        <v>209138</v>
      </c>
      <c r="E21" s="19">
        <f>SUM(E22:E24)</f>
        <v>181324</v>
      </c>
      <c r="F21" s="20">
        <f>SUM(F22:F24)</f>
        <v>266760</v>
      </c>
      <c r="G21" s="18">
        <f aca="true" t="shared" si="3" ref="G21:P21">SUM(G23:G24)</f>
        <v>641999</v>
      </c>
      <c r="H21" s="18">
        <f t="shared" si="3"/>
        <v>470970</v>
      </c>
      <c r="I21" s="18">
        <f t="shared" si="3"/>
        <v>182263</v>
      </c>
      <c r="J21" s="18">
        <f t="shared" si="3"/>
        <v>136303</v>
      </c>
      <c r="K21" s="21">
        <f t="shared" si="3"/>
        <v>157284</v>
      </c>
      <c r="L21" s="19">
        <f t="shared" si="3"/>
        <v>171378</v>
      </c>
      <c r="M21" s="19">
        <f t="shared" si="3"/>
        <v>198310</v>
      </c>
      <c r="N21" s="19">
        <f t="shared" si="3"/>
        <v>227215</v>
      </c>
      <c r="O21" s="18">
        <f t="shared" si="3"/>
        <v>218443</v>
      </c>
      <c r="P21" s="18">
        <f t="shared" si="3"/>
        <v>206002</v>
      </c>
    </row>
    <row r="22" spans="2:16" ht="11.25">
      <c r="B22" s="3" t="s">
        <v>19</v>
      </c>
      <c r="C22" s="19"/>
      <c r="D22" s="19"/>
      <c r="E22" s="19"/>
      <c r="F22" s="20"/>
      <c r="G22" s="18"/>
      <c r="H22" s="18"/>
      <c r="I22" s="18"/>
      <c r="J22" s="18"/>
      <c r="K22" s="21"/>
      <c r="L22" s="19"/>
      <c r="M22" s="19"/>
      <c r="N22" s="19"/>
      <c r="O22" s="18"/>
      <c r="P22" s="18"/>
    </row>
    <row r="23" spans="2:16" ht="11.25">
      <c r="B23" s="3" t="s">
        <v>20</v>
      </c>
      <c r="C23" s="18">
        <v>0</v>
      </c>
      <c r="D23" s="18">
        <v>0</v>
      </c>
      <c r="E23" s="19">
        <v>0</v>
      </c>
      <c r="F23" s="20">
        <v>0</v>
      </c>
      <c r="G23" s="18">
        <v>3768</v>
      </c>
      <c r="H23" s="18">
        <v>2066</v>
      </c>
      <c r="I23" s="18">
        <v>3813</v>
      </c>
      <c r="J23" s="18">
        <v>3996</v>
      </c>
      <c r="K23" s="21">
        <f>4407+1600</f>
        <v>6007</v>
      </c>
      <c r="L23" s="19">
        <v>4061</v>
      </c>
      <c r="M23" s="19">
        <v>3493</v>
      </c>
      <c r="N23" s="19">
        <v>3529</v>
      </c>
      <c r="O23" s="18">
        <v>3422</v>
      </c>
      <c r="P23" s="18">
        <v>1113</v>
      </c>
    </row>
    <row r="24" spans="2:16" ht="11.25">
      <c r="B24" s="3" t="s">
        <v>21</v>
      </c>
      <c r="C24" s="18">
        <v>183806</v>
      </c>
      <c r="D24" s="18">
        <v>209138</v>
      </c>
      <c r="E24" s="19">
        <v>181324</v>
      </c>
      <c r="F24" s="20">
        <v>266760</v>
      </c>
      <c r="G24" s="3">
        <f>308340+82+329809</f>
        <v>638231</v>
      </c>
      <c r="H24" s="18">
        <f>33972+200676+44+234212</f>
        <v>468904</v>
      </c>
      <c r="I24" s="18">
        <v>178450</v>
      </c>
      <c r="J24" s="18">
        <v>132307</v>
      </c>
      <c r="K24" s="21">
        <f>44127+107150</f>
        <v>151277</v>
      </c>
      <c r="L24" s="19">
        <v>167317</v>
      </c>
      <c r="M24" s="19">
        <v>194817</v>
      </c>
      <c r="N24" s="19">
        <v>223686</v>
      </c>
      <c r="O24" s="18">
        <v>215021</v>
      </c>
      <c r="P24" s="18">
        <v>204889</v>
      </c>
    </row>
    <row r="25" spans="1:16" ht="11.25">
      <c r="A25" s="4" t="s">
        <v>22</v>
      </c>
      <c r="B25" s="4"/>
      <c r="C25" s="22">
        <v>148623</v>
      </c>
      <c r="D25" s="22">
        <v>148169</v>
      </c>
      <c r="E25" s="22">
        <v>121273</v>
      </c>
      <c r="F25" s="23">
        <v>105075</v>
      </c>
      <c r="G25" s="4">
        <v>114143</v>
      </c>
      <c r="H25" s="22">
        <v>122552</v>
      </c>
      <c r="I25" s="22">
        <v>110932</v>
      </c>
      <c r="J25" s="22">
        <v>110820</v>
      </c>
      <c r="K25" s="24">
        <v>108667</v>
      </c>
      <c r="L25" s="22">
        <v>106983</v>
      </c>
      <c r="M25" s="22">
        <v>104175</v>
      </c>
      <c r="N25" s="22">
        <v>101192</v>
      </c>
      <c r="O25" s="22">
        <v>97783</v>
      </c>
      <c r="P25" s="22">
        <v>84150</v>
      </c>
    </row>
    <row r="26" spans="1:16" ht="11.25">
      <c r="A26" s="12" t="s">
        <v>23</v>
      </c>
      <c r="C26" s="6"/>
      <c r="E26" s="19"/>
      <c r="F26" s="25"/>
      <c r="J26" s="18"/>
      <c r="K26" s="21"/>
      <c r="L26" s="19"/>
      <c r="M26" s="19"/>
      <c r="N26" s="19"/>
      <c r="O26" s="18"/>
      <c r="P26" s="18"/>
    </row>
    <row r="27" spans="1:16" ht="11.25">
      <c r="A27" s="3" t="s">
        <v>12</v>
      </c>
      <c r="C27" s="19">
        <f aca="true" t="shared" si="4" ref="C27:I27">(C10+G10)/2</f>
        <v>695093.5</v>
      </c>
      <c r="D27" s="19">
        <f t="shared" si="4"/>
        <v>628616.5</v>
      </c>
      <c r="E27" s="19">
        <f t="shared" si="4"/>
        <v>475498</v>
      </c>
      <c r="F27" s="20">
        <f t="shared" si="4"/>
        <v>531212.5</v>
      </c>
      <c r="G27" s="18">
        <f t="shared" si="4"/>
        <v>620314.5</v>
      </c>
      <c r="H27" s="18">
        <f t="shared" si="4"/>
        <v>539707.5</v>
      </c>
      <c r="I27" s="18">
        <f t="shared" si="4"/>
        <v>418473</v>
      </c>
      <c r="J27" s="18">
        <f>+(J10+N10)/2</f>
        <v>420550.5</v>
      </c>
      <c r="K27" s="21">
        <f>+(K10+O10)/2</f>
        <v>432661</v>
      </c>
      <c r="L27" s="19">
        <f>+(408315+L10)/2</f>
        <v>401328.5</v>
      </c>
      <c r="M27" s="19">
        <f>+(424004+M10)/2</f>
        <v>424352</v>
      </c>
      <c r="N27" s="19">
        <f>+(445249+N10)/2</f>
        <v>462112.5</v>
      </c>
      <c r="O27" s="18">
        <f>(O10+P10)/2</f>
        <v>451488.5</v>
      </c>
      <c r="P27" s="18">
        <f>(P10+435114)/2</f>
        <v>435159.5</v>
      </c>
    </row>
    <row r="28" spans="1:16" ht="11.25">
      <c r="A28" s="3" t="s">
        <v>24</v>
      </c>
      <c r="C28" s="19">
        <f aca="true" t="shared" si="5" ref="C28:P28">C29+C30</f>
        <v>298498.5</v>
      </c>
      <c r="D28" s="19">
        <f t="shared" si="5"/>
        <v>264711.5</v>
      </c>
      <c r="E28" s="19">
        <f t="shared" si="5"/>
        <v>189344</v>
      </c>
      <c r="F28" s="20">
        <f t="shared" si="5"/>
        <v>209468</v>
      </c>
      <c r="G28" s="18">
        <f t="shared" si="5"/>
        <v>220051.5</v>
      </c>
      <c r="H28" s="18">
        <f t="shared" si="5"/>
        <v>189587</v>
      </c>
      <c r="I28" s="18">
        <f t="shared" si="5"/>
        <v>123238</v>
      </c>
      <c r="J28" s="18">
        <f t="shared" si="5"/>
        <v>124724.5</v>
      </c>
      <c r="K28" s="21">
        <f t="shared" si="5"/>
        <v>138338.5</v>
      </c>
      <c r="L28" s="19">
        <f t="shared" si="5"/>
        <v>133232</v>
      </c>
      <c r="M28" s="19">
        <f t="shared" si="5"/>
        <v>163783</v>
      </c>
      <c r="N28" s="19">
        <f t="shared" si="5"/>
        <v>194762</v>
      </c>
      <c r="O28" s="18">
        <f t="shared" si="5"/>
        <v>233776.5</v>
      </c>
      <c r="P28" s="18">
        <f t="shared" si="5"/>
        <v>209157</v>
      </c>
    </row>
    <row r="29" spans="2:16" ht="11.25">
      <c r="B29" s="3" t="s">
        <v>14</v>
      </c>
      <c r="C29" s="19">
        <f aca="true" t="shared" si="6" ref="C29:I29">(C12+G12)/2</f>
        <v>75922</v>
      </c>
      <c r="D29" s="19">
        <f t="shared" si="6"/>
        <v>63261.5</v>
      </c>
      <c r="E29" s="19">
        <f t="shared" si="6"/>
        <v>62241.5</v>
      </c>
      <c r="F29" s="20">
        <f t="shared" si="6"/>
        <v>64536.5</v>
      </c>
      <c r="G29" s="18">
        <f t="shared" si="6"/>
        <v>54925.5</v>
      </c>
      <c r="H29" s="18">
        <f t="shared" si="6"/>
        <v>43659.5</v>
      </c>
      <c r="I29" s="18">
        <f t="shared" si="6"/>
        <v>40081</v>
      </c>
      <c r="J29" s="18">
        <f>+(J12+N12)/2</f>
        <v>59537.5</v>
      </c>
      <c r="K29" s="21">
        <f>+(K12+O12)/2</f>
        <v>58211.5</v>
      </c>
      <c r="L29" s="19">
        <f>+(64197+L12)/2</f>
        <v>53987.5</v>
      </c>
      <c r="M29" s="19">
        <f>+(112882+M12)/2</f>
        <v>76611.5</v>
      </c>
      <c r="N29" s="19">
        <f>+(126003+N12)/2</f>
        <v>101853</v>
      </c>
      <c r="O29" s="18">
        <f>(O12+P12)/2</f>
        <v>122285.5</v>
      </c>
      <c r="P29" s="18">
        <f>(P12+30387)/2</f>
        <v>99421.5</v>
      </c>
    </row>
    <row r="30" spans="2:16" ht="11.25">
      <c r="B30" s="3" t="s">
        <v>17</v>
      </c>
      <c r="C30" s="19">
        <f aca="true" t="shared" si="7" ref="C30:I30">(C15+G15)/2</f>
        <v>222576.5</v>
      </c>
      <c r="D30" s="19">
        <f t="shared" si="7"/>
        <v>201450</v>
      </c>
      <c r="E30" s="19">
        <f t="shared" si="7"/>
        <v>127102.5</v>
      </c>
      <c r="F30" s="20">
        <f t="shared" si="7"/>
        <v>144931.5</v>
      </c>
      <c r="G30" s="18">
        <f t="shared" si="7"/>
        <v>165126</v>
      </c>
      <c r="H30" s="18">
        <f t="shared" si="7"/>
        <v>145927.5</v>
      </c>
      <c r="I30" s="18">
        <f t="shared" si="7"/>
        <v>83157</v>
      </c>
      <c r="J30" s="18">
        <f>+(J15+N15)/2</f>
        <v>65187</v>
      </c>
      <c r="K30" s="21">
        <f>+(K15+O15)/2</f>
        <v>80127</v>
      </c>
      <c r="L30" s="19">
        <f>+(102962+L15)/2</f>
        <v>79244.5</v>
      </c>
      <c r="M30" s="19">
        <f>+(102544+M15)/2</f>
        <v>87171.5</v>
      </c>
      <c r="N30" s="19">
        <f>+(106087+N15)/2</f>
        <v>92909</v>
      </c>
      <c r="O30" s="18">
        <f>(O15+P15)/2</f>
        <v>111491</v>
      </c>
      <c r="P30" s="18">
        <f>(P15+105018)/2</f>
        <v>109735.5</v>
      </c>
    </row>
    <row r="31" spans="1:16" ht="11.25">
      <c r="A31" s="4" t="s">
        <v>22</v>
      </c>
      <c r="B31" s="4"/>
      <c r="C31" s="22">
        <f aca="true" t="shared" si="8" ref="C31:I31">(C25+G25)/2</f>
        <v>131383</v>
      </c>
      <c r="D31" s="19">
        <f t="shared" si="8"/>
        <v>135360.5</v>
      </c>
      <c r="E31" s="19">
        <f t="shared" si="8"/>
        <v>116102.5</v>
      </c>
      <c r="F31" s="23">
        <f t="shared" si="8"/>
        <v>107947.5</v>
      </c>
      <c r="G31" s="22">
        <f t="shared" si="8"/>
        <v>111405</v>
      </c>
      <c r="H31" s="22">
        <f t="shared" si="8"/>
        <v>114767.5</v>
      </c>
      <c r="I31" s="22">
        <f t="shared" si="8"/>
        <v>107553.5</v>
      </c>
      <c r="J31" s="22">
        <f>+(J25+N25)/2</f>
        <v>106006</v>
      </c>
      <c r="K31" s="24">
        <f>+(K25+O25)/2</f>
        <v>103225</v>
      </c>
      <c r="L31" s="22">
        <f>+(93117+L25)/2</f>
        <v>100050</v>
      </c>
      <c r="M31" s="22">
        <f>+(89931+M25)/2</f>
        <v>97053</v>
      </c>
      <c r="N31" s="22">
        <f>+(87045+N25)/2</f>
        <v>94118.5</v>
      </c>
      <c r="O31" s="22">
        <f>(O25+P25)/2</f>
        <v>90966.5</v>
      </c>
      <c r="P31" s="22">
        <f>(P25+72661)/2</f>
        <v>78405.5</v>
      </c>
    </row>
    <row r="32" spans="1:14" ht="11.25">
      <c r="A32" s="12" t="s">
        <v>25</v>
      </c>
      <c r="D32" s="6"/>
      <c r="E32" s="26"/>
      <c r="F32" s="25"/>
      <c r="J32" s="18"/>
      <c r="K32" s="27"/>
      <c r="L32" s="5"/>
      <c r="M32" s="5"/>
      <c r="N32" s="5"/>
    </row>
    <row r="33" spans="1:16" ht="11.25">
      <c r="A33" s="3" t="s">
        <v>26</v>
      </c>
      <c r="C33" s="18">
        <v>12465</v>
      </c>
      <c r="D33" s="19">
        <v>9812</v>
      </c>
      <c r="E33" s="19">
        <v>6937</v>
      </c>
      <c r="F33" s="20">
        <v>3655</v>
      </c>
      <c r="G33" s="18">
        <v>24120</v>
      </c>
      <c r="H33" s="18">
        <v>18542</v>
      </c>
      <c r="I33" s="18">
        <v>12573</v>
      </c>
      <c r="J33" s="18">
        <v>6796</v>
      </c>
      <c r="K33" s="21">
        <v>33210</v>
      </c>
      <c r="L33" s="19">
        <v>25424</v>
      </c>
      <c r="M33" s="19">
        <v>17308</v>
      </c>
      <c r="N33" s="19">
        <v>8967</v>
      </c>
      <c r="O33" s="18">
        <v>28945</v>
      </c>
      <c r="P33" s="18">
        <v>28687</v>
      </c>
    </row>
    <row r="34" spans="1:16" ht="11.25">
      <c r="A34" s="3" t="s">
        <v>27</v>
      </c>
      <c r="C34" s="18">
        <v>9526</v>
      </c>
      <c r="D34" s="19">
        <v>7573</v>
      </c>
      <c r="E34" s="19">
        <v>5478</v>
      </c>
      <c r="F34" s="20">
        <v>2925</v>
      </c>
      <c r="G34" s="18">
        <v>16722</v>
      </c>
      <c r="H34" s="18">
        <v>12578</v>
      </c>
      <c r="I34" s="18">
        <v>8295</v>
      </c>
      <c r="J34" s="18">
        <v>4508</v>
      </c>
      <c r="K34" s="21">
        <v>20940</v>
      </c>
      <c r="L34" s="19">
        <v>15715</v>
      </c>
      <c r="M34" s="19">
        <v>10601</v>
      </c>
      <c r="N34" s="19">
        <v>5500</v>
      </c>
      <c r="O34" s="18">
        <v>15755</v>
      </c>
      <c r="P34" s="18">
        <v>17757</v>
      </c>
    </row>
    <row r="35" spans="1:16" ht="11.25">
      <c r="A35" s="3" t="s">
        <v>28</v>
      </c>
      <c r="C35" s="18">
        <f>+C33-C34</f>
        <v>2939</v>
      </c>
      <c r="D35" s="19">
        <f>+D33-D34</f>
        <v>2239</v>
      </c>
      <c r="E35" s="19">
        <f>+E33-E34</f>
        <v>1459</v>
      </c>
      <c r="F35" s="20">
        <f>+F33-F34</f>
        <v>730</v>
      </c>
      <c r="G35" s="18">
        <f>+G33-G34</f>
        <v>7398</v>
      </c>
      <c r="H35" s="18">
        <f aca="true" t="shared" si="9" ref="H35:P35">H33-H34</f>
        <v>5964</v>
      </c>
      <c r="I35" s="18">
        <f t="shared" si="9"/>
        <v>4278</v>
      </c>
      <c r="J35" s="18">
        <f t="shared" si="9"/>
        <v>2288</v>
      </c>
      <c r="K35" s="21">
        <f t="shared" si="9"/>
        <v>12270</v>
      </c>
      <c r="L35" s="19">
        <f t="shared" si="9"/>
        <v>9709</v>
      </c>
      <c r="M35" s="19">
        <f t="shared" si="9"/>
        <v>6707</v>
      </c>
      <c r="N35" s="19">
        <f t="shared" si="9"/>
        <v>3467</v>
      </c>
      <c r="O35" s="18">
        <f t="shared" si="9"/>
        <v>13190</v>
      </c>
      <c r="P35" s="18">
        <f t="shared" si="9"/>
        <v>10930</v>
      </c>
    </row>
    <row r="36" spans="1:16" ht="11.25">
      <c r="A36" s="3" t="s">
        <v>29</v>
      </c>
      <c r="C36" s="18">
        <v>65172</v>
      </c>
      <c r="D36" s="19">
        <v>55644</v>
      </c>
      <c r="E36" s="19">
        <v>29277</v>
      </c>
      <c r="F36" s="20">
        <v>10648</v>
      </c>
      <c r="G36" s="18">
        <v>49482</v>
      </c>
      <c r="H36" s="18">
        <v>19482</v>
      </c>
      <c r="I36" s="18">
        <v>1774</v>
      </c>
      <c r="J36" s="18">
        <v>355</v>
      </c>
      <c r="K36" s="21">
        <v>2301</v>
      </c>
      <c r="L36" s="19">
        <v>2212</v>
      </c>
      <c r="M36" s="19">
        <v>1741</v>
      </c>
      <c r="N36" s="19">
        <v>1457</v>
      </c>
      <c r="O36" s="18">
        <v>10213</v>
      </c>
      <c r="P36" s="18">
        <v>1396</v>
      </c>
    </row>
    <row r="37" spans="1:16" ht="11.25">
      <c r="A37" s="3" t="s">
        <v>30</v>
      </c>
      <c r="C37" s="18">
        <f>+C36+C35</f>
        <v>68111</v>
      </c>
      <c r="D37" s="19">
        <f>+D36+D35</f>
        <v>57883</v>
      </c>
      <c r="E37" s="19">
        <f>+E36+E35</f>
        <v>30736</v>
      </c>
      <c r="F37" s="20">
        <f>+F36+F35</f>
        <v>11378</v>
      </c>
      <c r="G37" s="18">
        <f>+G36+G35</f>
        <v>56880</v>
      </c>
      <c r="H37" s="18">
        <f aca="true" t="shared" si="10" ref="H37:P37">H35+H36</f>
        <v>25446</v>
      </c>
      <c r="I37" s="18">
        <f t="shared" si="10"/>
        <v>6052</v>
      </c>
      <c r="J37" s="18">
        <f t="shared" si="10"/>
        <v>2643</v>
      </c>
      <c r="K37" s="21">
        <f t="shared" si="10"/>
        <v>14571</v>
      </c>
      <c r="L37" s="19">
        <f t="shared" si="10"/>
        <v>11921</v>
      </c>
      <c r="M37" s="19">
        <f t="shared" si="10"/>
        <v>8448</v>
      </c>
      <c r="N37" s="19">
        <f t="shared" si="10"/>
        <v>4924</v>
      </c>
      <c r="O37" s="18">
        <f t="shared" si="10"/>
        <v>23403</v>
      </c>
      <c r="P37" s="18">
        <f t="shared" si="10"/>
        <v>12326</v>
      </c>
    </row>
    <row r="38" spans="1:16" ht="11.25">
      <c r="A38" s="3" t="s">
        <v>31</v>
      </c>
      <c r="C38" s="18">
        <v>33632</v>
      </c>
      <c r="D38" s="19">
        <v>23857</v>
      </c>
      <c r="E38" s="19">
        <v>23606</v>
      </c>
      <c r="F38" s="20">
        <v>20447</v>
      </c>
      <c r="G38" s="18">
        <v>50230</v>
      </c>
      <c r="H38" s="18">
        <v>11562</v>
      </c>
      <c r="I38" s="18">
        <v>3786</v>
      </c>
      <c r="J38" s="18">
        <v>490</v>
      </c>
      <c r="K38" s="21">
        <v>3687</v>
      </c>
      <c r="L38" s="19">
        <v>2719</v>
      </c>
      <c r="M38" s="19">
        <v>2055</v>
      </c>
      <c r="N38" s="19">
        <v>1513</v>
      </c>
      <c r="O38" s="18">
        <v>9772</v>
      </c>
      <c r="P38" s="18">
        <v>2561</v>
      </c>
    </row>
    <row r="39" spans="1:16" ht="11.25">
      <c r="A39" s="3" t="s">
        <v>32</v>
      </c>
      <c r="C39" s="18">
        <f>+C37-C38</f>
        <v>34479</v>
      </c>
      <c r="D39" s="19">
        <f>+D37-D38</f>
        <v>34026</v>
      </c>
      <c r="E39" s="19">
        <f>+E37-E38</f>
        <v>7130</v>
      </c>
      <c r="F39" s="20">
        <f>+F37-F38</f>
        <v>-9069</v>
      </c>
      <c r="G39" s="18">
        <f>+G37-G38</f>
        <v>6650</v>
      </c>
      <c r="H39" s="18">
        <f aca="true" t="shared" si="11" ref="H39:P39">H37-H38</f>
        <v>13884</v>
      </c>
      <c r="I39" s="18">
        <f t="shared" si="11"/>
        <v>2266</v>
      </c>
      <c r="J39" s="18">
        <f t="shared" si="11"/>
        <v>2153</v>
      </c>
      <c r="K39" s="21">
        <f t="shared" si="11"/>
        <v>10884</v>
      </c>
      <c r="L39" s="19">
        <f t="shared" si="11"/>
        <v>9202</v>
      </c>
      <c r="M39" s="19">
        <f t="shared" si="11"/>
        <v>6393</v>
      </c>
      <c r="N39" s="19">
        <f t="shared" si="11"/>
        <v>3411</v>
      </c>
      <c r="O39" s="18">
        <f t="shared" si="11"/>
        <v>13631</v>
      </c>
      <c r="P39" s="18">
        <f t="shared" si="11"/>
        <v>9765</v>
      </c>
    </row>
    <row r="40" spans="1:16" ht="11.25">
      <c r="A40" s="4" t="s">
        <v>33</v>
      </c>
      <c r="B40" s="4"/>
      <c r="C40" s="22">
        <f>+C39-0</f>
        <v>34479</v>
      </c>
      <c r="D40" s="22">
        <v>34026</v>
      </c>
      <c r="E40" s="22">
        <v>7130</v>
      </c>
      <c r="F40" s="23">
        <v>-9069</v>
      </c>
      <c r="G40" s="22">
        <v>6650</v>
      </c>
      <c r="H40" s="22">
        <v>13884</v>
      </c>
      <c r="I40" s="22">
        <v>2265</v>
      </c>
      <c r="J40" s="22">
        <v>2153</v>
      </c>
      <c r="K40" s="24">
        <v>10884</v>
      </c>
      <c r="L40" s="22">
        <v>9202</v>
      </c>
      <c r="M40" s="22">
        <v>6393</v>
      </c>
      <c r="N40" s="22">
        <v>3411</v>
      </c>
      <c r="O40" s="22">
        <v>13631</v>
      </c>
      <c r="P40" s="22">
        <v>9765</v>
      </c>
    </row>
    <row r="41" spans="1:16" ht="11.25">
      <c r="A41" s="28" t="s">
        <v>34</v>
      </c>
      <c r="B41" s="6"/>
      <c r="C41" s="5"/>
      <c r="D41" s="18"/>
      <c r="E41" s="19"/>
      <c r="F41" s="5"/>
      <c r="G41" s="29"/>
      <c r="H41" s="5"/>
      <c r="I41" s="18"/>
      <c r="J41" s="6"/>
      <c r="K41" s="29"/>
      <c r="L41" s="6"/>
      <c r="M41" s="6"/>
      <c r="N41" s="5"/>
      <c r="O41" s="6"/>
      <c r="P41" s="6"/>
    </row>
    <row r="42" spans="1:16" ht="11.25">
      <c r="A42" s="5" t="s">
        <v>35</v>
      </c>
      <c r="B42" s="5"/>
      <c r="C42" s="18">
        <v>1214</v>
      </c>
      <c r="D42" s="18">
        <v>1214</v>
      </c>
      <c r="E42" s="19">
        <v>1141</v>
      </c>
      <c r="F42" s="19">
        <v>1228</v>
      </c>
      <c r="G42" s="30">
        <v>0</v>
      </c>
      <c r="H42" s="19">
        <v>358</v>
      </c>
      <c r="I42" s="18">
        <v>319</v>
      </c>
      <c r="J42" s="19">
        <v>107</v>
      </c>
      <c r="K42" s="21">
        <v>54</v>
      </c>
      <c r="L42" s="19">
        <v>54</v>
      </c>
      <c r="M42" s="19">
        <v>54</v>
      </c>
      <c r="N42" s="19">
        <v>54</v>
      </c>
      <c r="O42" s="19">
        <v>54</v>
      </c>
      <c r="P42" s="19">
        <v>1000</v>
      </c>
    </row>
    <row r="43" spans="1:16" ht="11.25">
      <c r="A43" s="5" t="s">
        <v>36</v>
      </c>
      <c r="B43" s="5"/>
      <c r="C43" s="18">
        <v>1560</v>
      </c>
      <c r="D43" s="18">
        <v>1282</v>
      </c>
      <c r="E43" s="19">
        <v>1282</v>
      </c>
      <c r="F43" s="19">
        <v>1369</v>
      </c>
      <c r="G43" s="30">
        <v>0</v>
      </c>
      <c r="H43" s="19">
        <v>0</v>
      </c>
      <c r="I43" s="18">
        <v>400</v>
      </c>
      <c r="J43" s="19">
        <v>536</v>
      </c>
      <c r="K43" s="21">
        <v>590</v>
      </c>
      <c r="L43" s="19">
        <v>54</v>
      </c>
      <c r="M43" s="19">
        <v>27</v>
      </c>
      <c r="N43" s="19">
        <v>13</v>
      </c>
      <c r="O43" s="19">
        <v>13</v>
      </c>
      <c r="P43" s="19">
        <v>1000</v>
      </c>
    </row>
    <row r="44" spans="1:16" ht="11.25">
      <c r="A44" s="5" t="s">
        <v>37</v>
      </c>
      <c r="B44" s="5"/>
      <c r="C44" s="31">
        <f aca="true" t="shared" si="12" ref="C44:I44">C42/C12</f>
        <v>0.01475073206886915</v>
      </c>
      <c r="D44" s="31">
        <f t="shared" si="12"/>
        <v>0.014629678725506736</v>
      </c>
      <c r="E44" s="32">
        <f t="shared" si="12"/>
        <v>0.013477120786185065</v>
      </c>
      <c r="F44" s="33">
        <f t="shared" si="12"/>
        <v>0.014002120842407727</v>
      </c>
      <c r="G44" s="30">
        <f t="shared" si="12"/>
        <v>0</v>
      </c>
      <c r="H44" s="34">
        <f t="shared" si="12"/>
        <v>0.008222135458533337</v>
      </c>
      <c r="I44" s="34">
        <f t="shared" si="12"/>
        <v>0.00801084854724894</v>
      </c>
      <c r="J44" s="31">
        <f aca="true" t="shared" si="13" ref="J44:P44">+J42/J12</f>
        <v>0.002586290244609881</v>
      </c>
      <c r="K44" s="35">
        <f t="shared" si="13"/>
        <v>0.0013396844298898482</v>
      </c>
      <c r="L44" s="31">
        <f t="shared" si="13"/>
        <v>0.0012334962766686463</v>
      </c>
      <c r="M44" s="31">
        <f t="shared" si="13"/>
        <v>0.0013385885327582361</v>
      </c>
      <c r="N44" s="31">
        <f t="shared" si="13"/>
        <v>0.0006949538627852207</v>
      </c>
      <c r="O44" s="31">
        <f t="shared" si="13"/>
        <v>0.0007094528016816659</v>
      </c>
      <c r="P44" s="31">
        <f t="shared" si="13"/>
        <v>0.005936268224343449</v>
      </c>
    </row>
    <row r="45" spans="1:16" ht="11.25">
      <c r="A45" s="5" t="s">
        <v>38</v>
      </c>
      <c r="B45" s="5"/>
      <c r="C45" s="31">
        <f>C43/C42</f>
        <v>1.28500823723229</v>
      </c>
      <c r="D45" s="31">
        <f>D43/D42</f>
        <v>1.0560131795716639</v>
      </c>
      <c r="E45" s="31">
        <f>E43/E42</f>
        <v>1.123575810692375</v>
      </c>
      <c r="F45" s="31">
        <f>F43/F42</f>
        <v>1.1148208469055374</v>
      </c>
      <c r="G45" s="30">
        <v>0</v>
      </c>
      <c r="H45" s="36">
        <f>H43/H42</f>
        <v>0</v>
      </c>
      <c r="I45" s="34">
        <f>I43/I42</f>
        <v>1.2539184952978057</v>
      </c>
      <c r="J45" s="31">
        <f aca="true" t="shared" si="14" ref="J45:P45">+J43/J42</f>
        <v>5.009345794392523</v>
      </c>
      <c r="K45" s="35">
        <f t="shared" si="14"/>
        <v>10.925925925925926</v>
      </c>
      <c r="L45" s="31">
        <f t="shared" si="14"/>
        <v>1</v>
      </c>
      <c r="M45" s="31">
        <f t="shared" si="14"/>
        <v>0.5</v>
      </c>
      <c r="N45" s="31">
        <f t="shared" si="14"/>
        <v>0.24074074074074073</v>
      </c>
      <c r="O45" s="31">
        <f t="shared" si="14"/>
        <v>0.24074074074074073</v>
      </c>
      <c r="P45" s="31">
        <f t="shared" si="14"/>
        <v>1</v>
      </c>
    </row>
    <row r="46" spans="1:16" ht="11.25">
      <c r="A46" s="4" t="s">
        <v>39</v>
      </c>
      <c r="B46" s="4"/>
      <c r="C46" s="37">
        <f aca="true" t="shared" si="15" ref="C46:I46">C43/C12</f>
        <v>0.01895481221370336</v>
      </c>
      <c r="D46" s="37">
        <f t="shared" si="15"/>
        <v>0.015449133547034297</v>
      </c>
      <c r="E46" s="38">
        <f t="shared" si="15"/>
        <v>0.015142566913136944</v>
      </c>
      <c r="F46" s="39">
        <f t="shared" si="15"/>
        <v>0.015609856216006659</v>
      </c>
      <c r="G46" s="40">
        <f t="shared" si="15"/>
        <v>0</v>
      </c>
      <c r="H46" s="39">
        <f t="shared" si="15"/>
        <v>0</v>
      </c>
      <c r="I46" s="37">
        <f t="shared" si="15"/>
        <v>0.010044951156425001</v>
      </c>
      <c r="J46" s="37">
        <f>+J43/J12</f>
        <v>0.012955622159914918</v>
      </c>
      <c r="K46" s="41">
        <f>+K43/K12</f>
        <v>0.014637292845092785</v>
      </c>
      <c r="L46" s="37">
        <f>54/L12</f>
        <v>0.0012334962766686463</v>
      </c>
      <c r="M46" s="37">
        <f>27/M12</f>
        <v>0.0006692942663791181</v>
      </c>
      <c r="N46" s="37">
        <f>13/N12</f>
        <v>0.00016730370770755312</v>
      </c>
      <c r="O46" s="37">
        <f>13/O12</f>
        <v>0.0001707941929974381</v>
      </c>
      <c r="P46" s="37">
        <f>1000/P12</f>
        <v>0.005936268224343449</v>
      </c>
    </row>
    <row r="47" spans="1:16" ht="11.25">
      <c r="A47" s="12" t="s">
        <v>40</v>
      </c>
      <c r="E47" s="19"/>
      <c r="F47" s="25"/>
      <c r="G47" s="6"/>
      <c r="H47" s="6"/>
      <c r="I47" s="6"/>
      <c r="J47" s="6"/>
      <c r="K47" s="29"/>
      <c r="L47" s="6"/>
      <c r="M47" s="6"/>
      <c r="N47" s="5"/>
      <c r="O47" s="6"/>
      <c r="P47" s="6"/>
    </row>
    <row r="48" spans="1:19" s="2" customFormat="1" ht="11.25">
      <c r="A48" s="42" t="s">
        <v>41</v>
      </c>
      <c r="B48" s="42"/>
      <c r="C48" s="31">
        <f>+C25/C12</f>
        <v>1.8058468305366886</v>
      </c>
      <c r="D48" s="31">
        <f>+D25/D12</f>
        <v>1.7855559036899569</v>
      </c>
      <c r="E48" s="31">
        <f>+E25/E12</f>
        <v>1.4324372209491862</v>
      </c>
      <c r="F48" s="43">
        <f aca="true" t="shared" si="16" ref="F48:P48">F25/F12</f>
        <v>1.1981049246872897</v>
      </c>
      <c r="G48" s="44">
        <f t="shared" si="16"/>
        <v>1.6413298247127677</v>
      </c>
      <c r="H48" s="44">
        <f t="shared" si="16"/>
        <v>2.8146344824418366</v>
      </c>
      <c r="I48" s="44">
        <f t="shared" si="16"/>
        <v>2.7857663042113456</v>
      </c>
      <c r="J48" s="43">
        <f t="shared" si="16"/>
        <v>2.6786232234361402</v>
      </c>
      <c r="K48" s="44">
        <f t="shared" si="16"/>
        <v>2.6959164433859284</v>
      </c>
      <c r="L48" s="44">
        <f t="shared" si="16"/>
        <v>2.4437617067933664</v>
      </c>
      <c r="M48" s="44">
        <f t="shared" si="16"/>
        <v>2.5823603777794304</v>
      </c>
      <c r="N48" s="44">
        <f t="shared" si="16"/>
        <v>1.3022920607955935</v>
      </c>
      <c r="O48" s="44">
        <f t="shared" si="16"/>
        <v>1.2846745056821913</v>
      </c>
      <c r="P48" s="44">
        <f t="shared" si="16"/>
        <v>0.4995369710785012</v>
      </c>
      <c r="Q48" s="42"/>
      <c r="R48" s="42"/>
      <c r="S48" s="42"/>
    </row>
    <row r="49" spans="1:19" s="2" customFormat="1" ht="11.25">
      <c r="A49" s="45" t="s">
        <v>42</v>
      </c>
      <c r="B49" s="45"/>
      <c r="C49" s="37">
        <f aca="true" t="shared" si="17" ref="C49:P49">C25/(C12+C15)</f>
        <v>0.5970545581636383</v>
      </c>
      <c r="D49" s="37">
        <f t="shared" si="17"/>
        <v>0.5937352236389719</v>
      </c>
      <c r="E49" s="37">
        <f t="shared" si="17"/>
        <v>0.4963045115243583</v>
      </c>
      <c r="F49" s="46">
        <f t="shared" si="17"/>
        <v>0.3214079242385775</v>
      </c>
      <c r="G49" s="47">
        <f t="shared" si="17"/>
        <v>0.3279311632717557</v>
      </c>
      <c r="H49" s="47">
        <f t="shared" si="17"/>
        <v>0.43789058452347346</v>
      </c>
      <c r="I49" s="47">
        <f t="shared" si="17"/>
        <v>0.8257801333968556</v>
      </c>
      <c r="J49" s="46">
        <f t="shared" si="17"/>
        <v>1.2043688529044179</v>
      </c>
      <c r="K49" s="47">
        <f t="shared" si="17"/>
        <v>1.1807395173470385</v>
      </c>
      <c r="L49" s="47">
        <f t="shared" si="17"/>
        <v>1.0773173556215698</v>
      </c>
      <c r="M49" s="47">
        <f t="shared" si="17"/>
        <v>0.9289727126805778</v>
      </c>
      <c r="N49" s="47">
        <f t="shared" si="17"/>
        <v>0.6427582351969714</v>
      </c>
      <c r="O49" s="47">
        <f t="shared" si="17"/>
        <v>0.5295758324126427</v>
      </c>
      <c r="P49" s="47">
        <f t="shared" si="17"/>
        <v>0.29744546833080604</v>
      </c>
      <c r="Q49" s="42"/>
      <c r="R49" s="42"/>
      <c r="S49" s="42"/>
    </row>
    <row r="50" spans="1:14" ht="11.25">
      <c r="A50" s="12" t="s">
        <v>43</v>
      </c>
      <c r="D50" s="19"/>
      <c r="E50" s="19"/>
      <c r="F50" s="25"/>
      <c r="K50" s="27"/>
      <c r="L50" s="5"/>
      <c r="M50" s="5"/>
      <c r="N50" s="5"/>
    </row>
    <row r="51" spans="1:16" ht="11.25">
      <c r="A51" s="3" t="s">
        <v>44</v>
      </c>
      <c r="C51" s="31">
        <f aca="true" t="shared" si="18" ref="C51:P51">C11/C16</f>
        <v>1.5652372610252114</v>
      </c>
      <c r="D51" s="31">
        <f t="shared" si="18"/>
        <v>1.4920100603429314</v>
      </c>
      <c r="E51" s="31">
        <f t="shared" si="18"/>
        <v>1.5621318744347135</v>
      </c>
      <c r="F51" s="48">
        <f t="shared" si="18"/>
        <v>1.357366171839856</v>
      </c>
      <c r="G51" s="49">
        <f t="shared" si="18"/>
        <v>0.7444295084571783</v>
      </c>
      <c r="H51" s="49">
        <f t="shared" si="18"/>
        <v>0.8188164851264412</v>
      </c>
      <c r="I51" s="49">
        <f t="shared" si="18"/>
        <v>1.40441011066426</v>
      </c>
      <c r="J51" s="34">
        <f t="shared" si="18"/>
        <v>1.806849445720197</v>
      </c>
      <c r="K51" s="35">
        <f t="shared" si="18"/>
        <v>1.7904300501004553</v>
      </c>
      <c r="L51" s="31">
        <f t="shared" si="18"/>
        <v>1.592934915800161</v>
      </c>
      <c r="M51" s="31">
        <f t="shared" si="18"/>
        <v>1.4502849074681055</v>
      </c>
      <c r="N51" s="31">
        <f t="shared" si="18"/>
        <v>1.3051251017758512</v>
      </c>
      <c r="O51" s="34">
        <f t="shared" si="18"/>
        <v>1.171609985213534</v>
      </c>
      <c r="P51" s="34">
        <f t="shared" si="18"/>
        <v>0.6630178347783031</v>
      </c>
    </row>
    <row r="52" spans="1:16" ht="11.25">
      <c r="A52" s="3" t="s">
        <v>45</v>
      </c>
      <c r="C52" s="31">
        <f aca="true" t="shared" si="19" ref="C52:P52">C11/C10</f>
        <v>0.5258559553141244</v>
      </c>
      <c r="D52" s="31">
        <f t="shared" si="19"/>
        <v>0.545364932885906</v>
      </c>
      <c r="E52" s="31">
        <f t="shared" si="19"/>
        <v>0.5257577726218098</v>
      </c>
      <c r="F52" s="48">
        <f t="shared" si="19"/>
        <v>0.5170512637441097</v>
      </c>
      <c r="G52" s="49">
        <f t="shared" si="19"/>
        <v>0.5668780742967148</v>
      </c>
      <c r="H52" s="49">
        <f t="shared" si="19"/>
        <v>0.5629151929794343</v>
      </c>
      <c r="I52" s="49">
        <f t="shared" si="19"/>
        <v>0.6209205183312876</v>
      </c>
      <c r="J52" s="34">
        <f t="shared" si="19"/>
        <v>0.6800938902312738</v>
      </c>
      <c r="K52" s="35">
        <f t="shared" si="19"/>
        <v>0.7083536662055088</v>
      </c>
      <c r="L52" s="31">
        <f t="shared" si="19"/>
        <v>0.692277261869139</v>
      </c>
      <c r="M52" s="31">
        <f t="shared" si="19"/>
        <v>0.6771980221332705</v>
      </c>
      <c r="N52" s="31">
        <f t="shared" si="19"/>
        <v>0.6191207910208445</v>
      </c>
      <c r="O52" s="34">
        <f t="shared" si="19"/>
        <v>0.5471255226905416</v>
      </c>
      <c r="P52" s="34">
        <f t="shared" si="19"/>
        <v>0.31383600831791914</v>
      </c>
    </row>
    <row r="53" spans="1:16" ht="11.25">
      <c r="A53" s="4" t="s">
        <v>46</v>
      </c>
      <c r="B53" s="4"/>
      <c r="C53" s="37">
        <f aca="true" t="shared" si="20" ref="C53:P53">(C11+C15)/C16</f>
        <v>2.4717691479059445</v>
      </c>
      <c r="D53" s="37">
        <f t="shared" si="20"/>
        <v>2.2884793772532968</v>
      </c>
      <c r="E53" s="37">
        <f t="shared" si="20"/>
        <v>2.4428205863537094</v>
      </c>
      <c r="F53" s="50">
        <f t="shared" si="20"/>
        <v>2.254127305443095</v>
      </c>
      <c r="G53" s="38">
        <f t="shared" si="20"/>
        <v>1.1782728633533697</v>
      </c>
      <c r="H53" s="38">
        <f t="shared" si="20"/>
        <v>1.3206064080514683</v>
      </c>
      <c r="I53" s="38">
        <f t="shared" si="20"/>
        <v>1.9229739442454037</v>
      </c>
      <c r="J53" s="37">
        <f t="shared" si="20"/>
        <v>2.1783966603816496</v>
      </c>
      <c r="K53" s="41">
        <f t="shared" si="20"/>
        <v>2.1192937616032146</v>
      </c>
      <c r="L53" s="37">
        <f t="shared" si="20"/>
        <v>1.9169379967090292</v>
      </c>
      <c r="M53" s="37">
        <f t="shared" si="20"/>
        <v>1.812339266804498</v>
      </c>
      <c r="N53" s="37">
        <f t="shared" si="20"/>
        <v>1.6560306317804723</v>
      </c>
      <c r="O53" s="37">
        <f t="shared" si="20"/>
        <v>1.668439821829951</v>
      </c>
      <c r="P53" s="37">
        <f t="shared" si="20"/>
        <v>1.2186095280628344</v>
      </c>
    </row>
    <row r="54" spans="1:14" ht="11.25">
      <c r="A54" s="12" t="s">
        <v>47</v>
      </c>
      <c r="D54" s="19"/>
      <c r="E54" s="19"/>
      <c r="F54" s="25"/>
      <c r="K54" s="27"/>
      <c r="L54" s="5"/>
      <c r="M54" s="5"/>
      <c r="N54" s="5"/>
    </row>
    <row r="55" spans="1:16" ht="11.25">
      <c r="A55" s="3" t="s">
        <v>48</v>
      </c>
      <c r="B55" s="5"/>
      <c r="C55" s="44">
        <f>C40/C28</f>
        <v>0.1155081181312469</v>
      </c>
      <c r="D55" s="31">
        <f>(D40/0.75)/D28</f>
        <v>0.17138658501802906</v>
      </c>
      <c r="E55" s="31">
        <f>(E40/0.5)/E28</f>
        <v>0.07531265844177792</v>
      </c>
      <c r="F55" s="51">
        <f>((F40)/0.25)/F28</f>
        <v>-0.17318158382187254</v>
      </c>
      <c r="G55" s="44">
        <f>G40/G28</f>
        <v>0.03022019845354383</v>
      </c>
      <c r="H55" s="44">
        <f>(H40/0.75)/H28</f>
        <v>0.09764382578974297</v>
      </c>
      <c r="I55" s="34">
        <f>(I40/0.5)/I28</f>
        <v>0.03675814278063584</v>
      </c>
      <c r="J55" s="34">
        <f>((J40)/0.25)/J28</f>
        <v>0.06904818219355459</v>
      </c>
      <c r="K55" s="52">
        <f>K40/K28</f>
        <v>0.07867657954943852</v>
      </c>
      <c r="L55" s="44">
        <f>(L40/0.75)/L28</f>
        <v>0.0920899883911773</v>
      </c>
      <c r="M55" s="44">
        <f>(M40/0.5)/M28</f>
        <v>0.07806671022023043</v>
      </c>
      <c r="N55" s="31">
        <f>((N40)/0.25)/N28</f>
        <v>0.07005473346956799</v>
      </c>
      <c r="O55" s="34">
        <f>O40/O28</f>
        <v>0.05830782820343362</v>
      </c>
      <c r="P55" s="34">
        <f>P40/P28</f>
        <v>0.04668741662961316</v>
      </c>
    </row>
    <row r="56" spans="1:16" ht="11.25">
      <c r="A56" s="3" t="s">
        <v>49</v>
      </c>
      <c r="B56" s="5"/>
      <c r="C56" s="44">
        <f>C40/C27</f>
        <v>0.04960339867945823</v>
      </c>
      <c r="D56" s="31">
        <f>(D40/0.75)/D27</f>
        <v>0.07217118863408771</v>
      </c>
      <c r="E56" s="31">
        <f>(E40/0.5)/E27</f>
        <v>0.029989610892159378</v>
      </c>
      <c r="F56" s="51">
        <f>((F40)/0.25)/F27</f>
        <v>-0.06828905569804927</v>
      </c>
      <c r="G56" s="44">
        <f>G40/G27</f>
        <v>0.010720368458257868</v>
      </c>
      <c r="H56" s="44">
        <f>(H40/0.75)/H27</f>
        <v>0.034300060681017035</v>
      </c>
      <c r="I56" s="34">
        <f>(I40/0.5)/I27</f>
        <v>0.010825071151543826</v>
      </c>
      <c r="J56" s="34">
        <f>((J40)/0.25)/J27</f>
        <v>0.020477921200902152</v>
      </c>
      <c r="K56" s="52">
        <f>K40/K27</f>
        <v>0.025155953506324814</v>
      </c>
      <c r="L56" s="44">
        <f>(L40/0.75)/L27</f>
        <v>0.03057179675336622</v>
      </c>
      <c r="M56" s="44">
        <f>(M40/0.5)/M27</f>
        <v>0.030130646255938465</v>
      </c>
      <c r="N56" s="31">
        <f>((N40)/0.25)/N27</f>
        <v>0.029525277935567636</v>
      </c>
      <c r="O56" s="34">
        <f>O40/O27</f>
        <v>0.03019124518121724</v>
      </c>
      <c r="P56" s="34">
        <f>P40/P27</f>
        <v>0.02244004784452597</v>
      </c>
    </row>
    <row r="57" spans="1:16" ht="11.25">
      <c r="A57" s="3" t="s">
        <v>50</v>
      </c>
      <c r="B57" s="5"/>
      <c r="C57" s="44">
        <f>+C40/C31</f>
        <v>0.26243121256174695</v>
      </c>
      <c r="D57" s="31">
        <f>(D40/0.75)/D31</f>
        <v>0.3351642465859686</v>
      </c>
      <c r="E57" s="31">
        <f>(E40/0.5)/E31</f>
        <v>0.12282250597532353</v>
      </c>
      <c r="F57" s="51">
        <f>((F40)/0.25)/F31</f>
        <v>-0.336052247620371</v>
      </c>
      <c r="G57" s="44">
        <f>+G40/G31</f>
        <v>0.05969211435752435</v>
      </c>
      <c r="H57" s="44">
        <f>(H40/0.75)/H31</f>
        <v>0.1613000196048533</v>
      </c>
      <c r="I57" s="34">
        <f>(I40/0.5)/I31</f>
        <v>0.04211857354711841</v>
      </c>
      <c r="J57" s="34">
        <f>((J40)/0.25)/J31</f>
        <v>0.0812406844895572</v>
      </c>
      <c r="K57" s="52">
        <f>+K40/K31</f>
        <v>0.1054395737466699</v>
      </c>
      <c r="L57" s="44">
        <f>(L40/0.75)/L31</f>
        <v>0.12263201732467101</v>
      </c>
      <c r="M57" s="44">
        <f>(M40/0.5)/M31</f>
        <v>0.13174245000154555</v>
      </c>
      <c r="N57" s="31">
        <f>((N40)/0.25)/N31</f>
        <v>0.14496618624393717</v>
      </c>
      <c r="O57" s="34">
        <f>O40/O31</f>
        <v>0.14984637201607184</v>
      </c>
      <c r="P57" s="34">
        <f>P40/P31</f>
        <v>0.12454483422719069</v>
      </c>
    </row>
    <row r="58" spans="1:16" ht="11.25">
      <c r="A58" s="3" t="s">
        <v>51</v>
      </c>
      <c r="B58" s="5"/>
      <c r="C58" s="44">
        <f>C33/C28</f>
        <v>0.04175900381408952</v>
      </c>
      <c r="D58" s="31">
        <f>(D33/0.75)/D28</f>
        <v>0.0494223585551314</v>
      </c>
      <c r="E58" s="31">
        <f>(E33/0.5)/E28</f>
        <v>0.07327404089910428</v>
      </c>
      <c r="F58" s="51">
        <f>((F33)/0.25)/F28</f>
        <v>0.0697958638073596</v>
      </c>
      <c r="G58" s="44">
        <f>G33/G28</f>
        <v>0.10961070476683867</v>
      </c>
      <c r="H58" s="44">
        <f>(H33/0.75)/H28</f>
        <v>0.13040275265005866</v>
      </c>
      <c r="I58" s="34">
        <f>(I33/0.5)/I28</f>
        <v>0.20404420714390042</v>
      </c>
      <c r="J58" s="34">
        <f>((J33)/0.25)/J28</f>
        <v>0.21795236701690526</v>
      </c>
      <c r="K58" s="52">
        <f>K33/K28</f>
        <v>0.2400633229361313</v>
      </c>
      <c r="L58" s="44">
        <f>(L33/0.75)/L28</f>
        <v>0.25443336936071415</v>
      </c>
      <c r="M58" s="44">
        <f>(M33/0.5)/M28</f>
        <v>0.2113528266059359</v>
      </c>
      <c r="N58" s="31">
        <f>((N33)/0.25)/N28</f>
        <v>0.1841632351280024</v>
      </c>
      <c r="O58" s="34">
        <f>O33/O28</f>
        <v>0.12381484024271046</v>
      </c>
      <c r="P58" s="34">
        <f>P33/P27</f>
        <v>0.0659229546867298</v>
      </c>
    </row>
    <row r="59" spans="1:16" ht="11.25">
      <c r="A59" s="3" t="s">
        <v>52</v>
      </c>
      <c r="B59" s="5"/>
      <c r="C59" s="44">
        <f>C34/C28</f>
        <v>0.031913058189572144</v>
      </c>
      <c r="D59" s="31">
        <f>(D34/0.75)/D28</f>
        <v>0.038144671966776414</v>
      </c>
      <c r="E59" s="31">
        <f>(E34/0.5)/E28</f>
        <v>0.05786293729930708</v>
      </c>
      <c r="F59" s="51">
        <f>((F34)/0.25)/F28</f>
        <v>0.055855787041457404</v>
      </c>
      <c r="G59" s="44">
        <f>G34/G28</f>
        <v>0.07599130203611427</v>
      </c>
      <c r="H59" s="44">
        <f>(H34/0.75)/H28</f>
        <v>0.08845894848627105</v>
      </c>
      <c r="I59" s="34">
        <f>(I34/0.5)/I28</f>
        <v>0.1346175692562359</v>
      </c>
      <c r="J59" s="34">
        <f>((J34)/0.25)/J28</f>
        <v>0.14457464251209667</v>
      </c>
      <c r="K59" s="52">
        <f>K34/K28</f>
        <v>0.1513678404782472</v>
      </c>
      <c r="L59" s="44">
        <f>(L34/0.75)/L28</f>
        <v>0.15726952483887754</v>
      </c>
      <c r="M59" s="44">
        <f>(M34/0.5)/M28</f>
        <v>0.1294517746042019</v>
      </c>
      <c r="N59" s="31">
        <f>((N34)/0.25)/N28</f>
        <v>0.11295837997145233</v>
      </c>
      <c r="O59" s="34">
        <f>O34/O28</f>
        <v>0.06739342919412344</v>
      </c>
      <c r="P59" s="34">
        <f>P34/P27</f>
        <v>0.04080572755506889</v>
      </c>
    </row>
    <row r="60" spans="1:16" ht="11.25">
      <c r="A60" s="3" t="s">
        <v>53</v>
      </c>
      <c r="B60" s="5"/>
      <c r="C60" s="44">
        <f>C35/C28</f>
        <v>0.009845945624517375</v>
      </c>
      <c r="D60" s="31">
        <f>(D35/0.75)/D28</f>
        <v>0.011277686588354995</v>
      </c>
      <c r="E60" s="31">
        <f>(E35/0.5)/E28</f>
        <v>0.015411103599797195</v>
      </c>
      <c r="F60" s="51">
        <f>((F35)/0.25)/F28</f>
        <v>0.01394007676590219</v>
      </c>
      <c r="G60" s="44">
        <f>G35/G28</f>
        <v>0.0336194027307244</v>
      </c>
      <c r="H60" s="44">
        <f>(H35/0.75)/H28</f>
        <v>0.0419438041637876</v>
      </c>
      <c r="I60" s="34">
        <f>(I35/0.5)/I28</f>
        <v>0.06942663788766452</v>
      </c>
      <c r="J60" s="34">
        <f>((J35)/0.25)/J28</f>
        <v>0.0733777245048086</v>
      </c>
      <c r="K60" s="52">
        <f>K35/K28</f>
        <v>0.0886954824578841</v>
      </c>
      <c r="L60" s="44">
        <f>(L35/0.75)/L28</f>
        <v>0.0971638445218366</v>
      </c>
      <c r="M60" s="44">
        <f>(M35/0.5)/M28</f>
        <v>0.081901052001734</v>
      </c>
      <c r="N60" s="31">
        <f>((N35)/0.25)/N28</f>
        <v>0.07120485515655005</v>
      </c>
      <c r="O60" s="34">
        <f>O35/O28</f>
        <v>0.05642141104858701</v>
      </c>
      <c r="P60" s="34">
        <f>P35/P27</f>
        <v>0.02511722713166092</v>
      </c>
    </row>
    <row r="61" spans="1:16" ht="11.25">
      <c r="A61" s="3" t="s">
        <v>54</v>
      </c>
      <c r="B61" s="5"/>
      <c r="C61" s="44">
        <f>C38/C37</f>
        <v>0.4937822084538474</v>
      </c>
      <c r="D61" s="31">
        <f>(D38/0.75)/(D37/0.75)</f>
        <v>0.4121590104175665</v>
      </c>
      <c r="E61" s="31">
        <f>(E38/0.5)/(E37/0.5)</f>
        <v>0.7680244664237377</v>
      </c>
      <c r="F61" s="51">
        <f>(F38/0.25)/(F37/0.25)</f>
        <v>1.7970645104587801</v>
      </c>
      <c r="G61" s="44">
        <f>G38/G37</f>
        <v>0.8830872011251758</v>
      </c>
      <c r="H61" s="44">
        <f>(H38/0.75)/(H37/0.75)</f>
        <v>0.4543739684036784</v>
      </c>
      <c r="I61" s="34">
        <f>(I38/0.5)/(I37/0.5)</f>
        <v>0.6255783212161269</v>
      </c>
      <c r="J61" s="34">
        <f>(J38/0.25)/(J37/0.25)</f>
        <v>0.1853953840332955</v>
      </c>
      <c r="K61" s="52">
        <f>K38/K37</f>
        <v>0.2530368540251184</v>
      </c>
      <c r="L61" s="44">
        <f>(L38/0.75)/(L37/0.75)</f>
        <v>0.22808489220702963</v>
      </c>
      <c r="M61" s="44">
        <f>(M38/0.5)/(M37/0.5)</f>
        <v>0.2432528409090909</v>
      </c>
      <c r="N61" s="31">
        <f>(N38/0.25)/(N37/0.25)</f>
        <v>0.3072705117790414</v>
      </c>
      <c r="O61" s="34">
        <f>O38/O37</f>
        <v>0.4175533051318207</v>
      </c>
      <c r="P61" s="34">
        <f>P38/P37</f>
        <v>0.20777218886905727</v>
      </c>
    </row>
    <row r="62" spans="1:16" ht="11.25">
      <c r="A62" s="4" t="s">
        <v>55</v>
      </c>
      <c r="B62" s="4"/>
      <c r="C62" s="47">
        <f>C36/C28</f>
        <v>0.21833275544098213</v>
      </c>
      <c r="D62" s="37">
        <f>(D36/0.75)/D28</f>
        <v>0.28027494083181126</v>
      </c>
      <c r="E62" s="37">
        <f>(E36/0.5)/E28</f>
        <v>0.30924666215987834</v>
      </c>
      <c r="F62" s="53">
        <f>(F36/0.25)/F28</f>
        <v>0.20333416082647468</v>
      </c>
      <c r="G62" s="47">
        <f>G36/G28</f>
        <v>0.22486554283883545</v>
      </c>
      <c r="H62" s="47">
        <f>(H36/0.75)/H28</f>
        <v>0.13701361380263416</v>
      </c>
      <c r="I62" s="37">
        <f>(I36/0.5)/I28</f>
        <v>0.02878982132134569</v>
      </c>
      <c r="J62" s="37">
        <f>(J36/0.25)/J28</f>
        <v>0.011385092744408676</v>
      </c>
      <c r="K62" s="54">
        <f>K36/K28</f>
        <v>0.016633113702982177</v>
      </c>
      <c r="L62" s="47">
        <f>(L36/0.75)/L28</f>
        <v>0.022136823986229535</v>
      </c>
      <c r="M62" s="47">
        <f>(M36/0.5)/M28</f>
        <v>0.02125983771209466</v>
      </c>
      <c r="N62" s="37">
        <f>(N36/0.25)/N28</f>
        <v>0.0299237017488011</v>
      </c>
      <c r="O62" s="37">
        <f>O36/O28</f>
        <v>0.04368702585589227</v>
      </c>
      <c r="P62" s="37">
        <f>P36/P27</f>
        <v>0.003208019128618357</v>
      </c>
    </row>
    <row r="63" spans="1:14" ht="11.25">
      <c r="A63" s="12" t="s">
        <v>56</v>
      </c>
      <c r="E63" s="19"/>
      <c r="F63" s="25"/>
      <c r="K63" s="27"/>
      <c r="L63" s="5"/>
      <c r="M63" s="5"/>
      <c r="N63" s="5"/>
    </row>
    <row r="64" spans="1:16" ht="11.25">
      <c r="A64" s="3" t="s">
        <v>57</v>
      </c>
      <c r="C64" s="3">
        <v>22</v>
      </c>
      <c r="D64" s="18">
        <v>22</v>
      </c>
      <c r="E64" s="19">
        <v>24</v>
      </c>
      <c r="F64" s="25">
        <v>24</v>
      </c>
      <c r="G64" s="18">
        <v>24</v>
      </c>
      <c r="H64" s="18">
        <v>25</v>
      </c>
      <c r="I64" s="18">
        <v>25</v>
      </c>
      <c r="J64" s="18">
        <v>25</v>
      </c>
      <c r="K64" s="21">
        <f>22+2</f>
        <v>24</v>
      </c>
      <c r="L64" s="19">
        <f>22+2</f>
        <v>24</v>
      </c>
      <c r="M64" s="19">
        <f>2+23</f>
        <v>25</v>
      </c>
      <c r="N64" s="19">
        <v>24</v>
      </c>
      <c r="O64" s="18">
        <v>24</v>
      </c>
      <c r="P64" s="18">
        <v>20</v>
      </c>
    </row>
    <row r="65" spans="1:16" ht="11.25">
      <c r="A65" s="3" t="s">
        <v>58</v>
      </c>
      <c r="C65" s="3">
        <v>1</v>
      </c>
      <c r="D65" s="18">
        <v>1</v>
      </c>
      <c r="E65" s="19">
        <v>1</v>
      </c>
      <c r="F65" s="25">
        <v>1</v>
      </c>
      <c r="G65" s="18">
        <v>1</v>
      </c>
      <c r="H65" s="18">
        <v>1</v>
      </c>
      <c r="I65" s="18">
        <v>1</v>
      </c>
      <c r="J65" s="18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</row>
    <row r="66" spans="1:16" ht="11.25">
      <c r="A66" s="3" t="s">
        <v>59</v>
      </c>
      <c r="C66" s="19">
        <f aca="true" t="shared" si="21" ref="C66:P66">C12/C64</f>
        <v>3740.9545454545455</v>
      </c>
      <c r="D66" s="19">
        <f t="shared" si="21"/>
        <v>3771.909090909091</v>
      </c>
      <c r="E66" s="19">
        <f t="shared" si="21"/>
        <v>3527.5833333333335</v>
      </c>
      <c r="F66" s="20">
        <f t="shared" si="21"/>
        <v>3654.2083333333335</v>
      </c>
      <c r="G66" s="18">
        <f t="shared" si="21"/>
        <v>2897.625</v>
      </c>
      <c r="H66" s="18">
        <f t="shared" si="21"/>
        <v>1741.64</v>
      </c>
      <c r="I66" s="18">
        <f t="shared" si="21"/>
        <v>1592.84</v>
      </c>
      <c r="J66" s="18">
        <f t="shared" si="21"/>
        <v>1654.88</v>
      </c>
      <c r="K66" s="21">
        <f t="shared" si="21"/>
        <v>1679.5</v>
      </c>
      <c r="L66" s="19">
        <f t="shared" si="21"/>
        <v>1824.0833333333333</v>
      </c>
      <c r="M66" s="19">
        <f t="shared" si="21"/>
        <v>1613.64</v>
      </c>
      <c r="N66" s="19">
        <f t="shared" si="21"/>
        <v>3237.625</v>
      </c>
      <c r="O66" s="18">
        <f t="shared" si="21"/>
        <v>3171.4583333333335</v>
      </c>
      <c r="P66" s="18">
        <f t="shared" si="21"/>
        <v>8422.8</v>
      </c>
    </row>
    <row r="67" spans="1:16" ht="11.25">
      <c r="A67" s="3" t="s">
        <v>60</v>
      </c>
      <c r="C67" s="19">
        <f aca="true" t="shared" si="22" ref="C67:P67">+C16/C64</f>
        <v>8354.818181818182</v>
      </c>
      <c r="D67" s="19">
        <f t="shared" si="22"/>
        <v>9506.272727272728</v>
      </c>
      <c r="E67" s="19">
        <f t="shared" si="22"/>
        <v>7555.166666666667</v>
      </c>
      <c r="F67" s="20">
        <f t="shared" si="22"/>
        <v>11115</v>
      </c>
      <c r="G67" s="18">
        <f t="shared" si="22"/>
        <v>26749.958333333332</v>
      </c>
      <c r="H67" s="18">
        <f t="shared" si="22"/>
        <v>18838.8</v>
      </c>
      <c r="I67" s="18">
        <f t="shared" si="22"/>
        <v>7290.52</v>
      </c>
      <c r="J67" s="18">
        <f t="shared" si="22"/>
        <v>5452.12</v>
      </c>
      <c r="K67" s="21">
        <f t="shared" si="22"/>
        <v>6553.5</v>
      </c>
      <c r="L67" s="19">
        <f t="shared" si="22"/>
        <v>7140.75</v>
      </c>
      <c r="M67" s="19">
        <f t="shared" si="22"/>
        <v>7932.4</v>
      </c>
      <c r="N67" s="19">
        <f t="shared" si="22"/>
        <v>9467.291666666666</v>
      </c>
      <c r="O67" s="18">
        <f t="shared" si="22"/>
        <v>9101.791666666666</v>
      </c>
      <c r="P67" s="18">
        <f t="shared" si="22"/>
        <v>10300.1</v>
      </c>
    </row>
    <row r="68" spans="1:16" ht="11.25">
      <c r="A68" s="4" t="s">
        <v>61</v>
      </c>
      <c r="B68" s="4"/>
      <c r="C68" s="22">
        <f aca="true" t="shared" si="23" ref="C68:P68">+C40/C64</f>
        <v>1567.2272727272727</v>
      </c>
      <c r="D68" s="22">
        <f t="shared" si="23"/>
        <v>1546.6363636363637</v>
      </c>
      <c r="E68" s="22">
        <f t="shared" si="23"/>
        <v>297.0833333333333</v>
      </c>
      <c r="F68" s="23">
        <f t="shared" si="23"/>
        <v>-377.875</v>
      </c>
      <c r="G68" s="22">
        <f t="shared" si="23"/>
        <v>277.0833333333333</v>
      </c>
      <c r="H68" s="22">
        <f t="shared" si="23"/>
        <v>555.36</v>
      </c>
      <c r="I68" s="22">
        <f t="shared" si="23"/>
        <v>90.6</v>
      </c>
      <c r="J68" s="22">
        <f t="shared" si="23"/>
        <v>86.12</v>
      </c>
      <c r="K68" s="24">
        <f t="shared" si="23"/>
        <v>453.5</v>
      </c>
      <c r="L68" s="22">
        <f t="shared" si="23"/>
        <v>383.4166666666667</v>
      </c>
      <c r="M68" s="22">
        <f t="shared" si="23"/>
        <v>255.72</v>
      </c>
      <c r="N68" s="22">
        <f t="shared" si="23"/>
        <v>142.125</v>
      </c>
      <c r="O68" s="22">
        <f t="shared" si="23"/>
        <v>567.9583333333334</v>
      </c>
      <c r="P68" s="22">
        <f t="shared" si="23"/>
        <v>488.25</v>
      </c>
    </row>
    <row r="69" spans="1:14" ht="11.25">
      <c r="A69" s="12" t="s">
        <v>62</v>
      </c>
      <c r="E69" s="19"/>
      <c r="F69" s="55"/>
      <c r="K69" s="27"/>
      <c r="L69" s="5"/>
      <c r="M69" s="5"/>
      <c r="N69" s="5"/>
    </row>
    <row r="70" spans="1:16" ht="11.25">
      <c r="A70" s="3" t="s">
        <v>63</v>
      </c>
      <c r="C70" s="34">
        <f aca="true" t="shared" si="24" ref="C70:I70">(C10/G10)-1</f>
        <v>-0.3510596278640554</v>
      </c>
      <c r="D70" s="31">
        <f t="shared" si="24"/>
        <v>-0.16481893170508832</v>
      </c>
      <c r="E70" s="31">
        <f t="shared" si="24"/>
        <v>0.3068653182808323</v>
      </c>
      <c r="F70" s="51">
        <f t="shared" si="24"/>
        <v>0.9338626164998274</v>
      </c>
      <c r="G70" s="34">
        <f t="shared" si="24"/>
        <v>1.1206867060747077</v>
      </c>
      <c r="H70" s="34">
        <f t="shared" si="24"/>
        <v>0.7372559859208505</v>
      </c>
      <c r="I70" s="34">
        <f t="shared" si="24"/>
        <v>-0.029324228867435798</v>
      </c>
      <c r="J70" s="34">
        <f>+(J10/N10)-1</f>
        <v>-0.24396003140032063</v>
      </c>
      <c r="K70" s="35">
        <f>+(K10/O10)-1</f>
        <v>-0.15012014400177864</v>
      </c>
      <c r="L70" s="31">
        <f>+(L10/408315)-1</f>
        <v>-0.034221128295556125</v>
      </c>
      <c r="M70" s="31">
        <f>+(M10/424004)-1</f>
        <v>0.0016414939481703694</v>
      </c>
      <c r="N70" s="31">
        <f>+(N10/445249)-1</f>
        <v>0.07574862604969357</v>
      </c>
      <c r="O70" s="34">
        <f>+(O10/P10)-1</f>
        <v>0.0748314012936433</v>
      </c>
      <c r="P70" s="34">
        <f>(P10/435114)-1</f>
        <v>0.00020914059304000254</v>
      </c>
    </row>
    <row r="71" spans="1:16" ht="11.25">
      <c r="A71" s="3" t="s">
        <v>64</v>
      </c>
      <c r="C71" s="34">
        <f aca="true" t="shared" si="25" ref="C71:I71">(C12/G12)-1</f>
        <v>0.18345484088980912</v>
      </c>
      <c r="D71" s="31">
        <f t="shared" si="25"/>
        <v>0.9058358788268528</v>
      </c>
      <c r="E71" s="31">
        <f t="shared" si="25"/>
        <v>1.1260641370131337</v>
      </c>
      <c r="F71" s="51">
        <f t="shared" si="25"/>
        <v>1.1198153340423476</v>
      </c>
      <c r="G71" s="34">
        <f t="shared" si="25"/>
        <v>0.7252902649598094</v>
      </c>
      <c r="H71" s="34">
        <f t="shared" si="25"/>
        <v>-0.005413678103156849</v>
      </c>
      <c r="I71" s="34">
        <f t="shared" si="25"/>
        <v>-0.012890111796931114</v>
      </c>
      <c r="J71" s="34">
        <f aca="true" t="shared" si="26" ref="J71:P71">SUM(J72:J73)</f>
        <v>-0.46756238497870095</v>
      </c>
      <c r="K71" s="35">
        <f t="shared" si="26"/>
        <v>-0.4704328975891743</v>
      </c>
      <c r="L71" s="31">
        <f t="shared" si="26"/>
        <v>-0.3180784448113648</v>
      </c>
      <c r="M71" s="31">
        <f t="shared" si="26"/>
        <v>-0.6426299797135087</v>
      </c>
      <c r="N71" s="31">
        <f t="shared" si="26"/>
        <v>-0.38332420656651034</v>
      </c>
      <c r="O71" s="34">
        <f t="shared" si="26"/>
        <v>-0.5481609441040984</v>
      </c>
      <c r="P71" s="34">
        <f t="shared" si="26"/>
        <v>4.543686444861289</v>
      </c>
    </row>
    <row r="72" spans="2:16" ht="11.25">
      <c r="B72" s="3" t="s">
        <v>15</v>
      </c>
      <c r="C72" s="34">
        <v>0</v>
      </c>
      <c r="D72" s="31">
        <v>0</v>
      </c>
      <c r="E72" s="31">
        <v>0</v>
      </c>
      <c r="F72" s="51">
        <v>0</v>
      </c>
      <c r="G72" s="34">
        <v>0</v>
      </c>
      <c r="H72" s="34">
        <v>0</v>
      </c>
      <c r="I72" s="34">
        <v>0</v>
      </c>
      <c r="J72" s="34">
        <v>0</v>
      </c>
      <c r="K72" s="35">
        <v>0</v>
      </c>
      <c r="L72" s="31">
        <v>0</v>
      </c>
      <c r="M72" s="31">
        <v>0</v>
      </c>
      <c r="N72" s="31">
        <v>0</v>
      </c>
      <c r="O72" s="34">
        <v>0</v>
      </c>
      <c r="P72" s="34">
        <v>0</v>
      </c>
    </row>
    <row r="73" spans="2:16" ht="11.25">
      <c r="B73" s="3" t="s">
        <v>16</v>
      </c>
      <c r="C73" s="34">
        <f aca="true" t="shared" si="27" ref="C73:I73">(C14/G14)-1</f>
        <v>0.18345484088980912</v>
      </c>
      <c r="D73" s="31">
        <f t="shared" si="27"/>
        <v>0.9058358788268528</v>
      </c>
      <c r="E73" s="31">
        <f t="shared" si="27"/>
        <v>1.1260641370131337</v>
      </c>
      <c r="F73" s="51">
        <f t="shared" si="27"/>
        <v>1.1198153340423476</v>
      </c>
      <c r="G73" s="34">
        <f t="shared" si="27"/>
        <v>0.7252902649598094</v>
      </c>
      <c r="H73" s="34">
        <f t="shared" si="27"/>
        <v>-0.005413678103156849</v>
      </c>
      <c r="I73" s="34">
        <f t="shared" si="27"/>
        <v>-0.012890111796931114</v>
      </c>
      <c r="J73" s="34">
        <f>+(J14/N14)-1</f>
        <v>-0.46756238497870095</v>
      </c>
      <c r="K73" s="35">
        <f>+(K14/O14)-1</f>
        <v>-0.4704328975891743</v>
      </c>
      <c r="L73" s="31">
        <f>+(L14/64198)-1</f>
        <v>-0.3180784448113648</v>
      </c>
      <c r="M73" s="31">
        <f>+(M14/112883)-1</f>
        <v>-0.6426299797135087</v>
      </c>
      <c r="N73" s="31">
        <f>+(N14/126003)-1</f>
        <v>-0.38332420656651034</v>
      </c>
      <c r="O73" s="34">
        <f>+(O14/P14)-1</f>
        <v>-0.5481609441040984</v>
      </c>
      <c r="P73" s="34">
        <f>+(P14/30387)-1</f>
        <v>4.543686444861289</v>
      </c>
    </row>
    <row r="74" spans="1:16" ht="11.25">
      <c r="A74" s="3" t="s">
        <v>65</v>
      </c>
      <c r="C74" s="34">
        <f aca="true" t="shared" si="28" ref="C74:I74">(C16/G16)-1</f>
        <v>-0.7136973733603946</v>
      </c>
      <c r="D74" s="31">
        <f t="shared" si="28"/>
        <v>-0.5559419920589421</v>
      </c>
      <c r="E74" s="31">
        <f t="shared" si="28"/>
        <v>-0.005151895886713165</v>
      </c>
      <c r="F74" s="51">
        <f t="shared" si="28"/>
        <v>0.9571102616963676</v>
      </c>
      <c r="G74" s="34">
        <f t="shared" si="28"/>
        <v>3.0817819994405022</v>
      </c>
      <c r="H74" s="34">
        <f t="shared" si="28"/>
        <v>1.7481357000315092</v>
      </c>
      <c r="I74" s="34">
        <f t="shared" si="28"/>
        <v>-0.08091876355201455</v>
      </c>
      <c r="J74" s="34">
        <f aca="true" t="shared" si="29" ref="J74:P74">SUM(J75:J76)</f>
        <v>-0.4001144290649825</v>
      </c>
      <c r="K74" s="35">
        <f t="shared" si="29"/>
        <v>-0.27997692761956205</v>
      </c>
      <c r="L74" s="31">
        <f t="shared" si="29"/>
        <v>-0.09633160556191245</v>
      </c>
      <c r="M74" s="31">
        <f t="shared" si="29"/>
        <v>0.013155541931693326</v>
      </c>
      <c r="N74" s="31">
        <f t="shared" si="29"/>
        <v>0.08208439891608199</v>
      </c>
      <c r="O74" s="34">
        <f t="shared" si="29"/>
        <v>0.06039261754740255</v>
      </c>
      <c r="P74" s="34">
        <f t="shared" si="29"/>
        <v>-0.4011656807313847</v>
      </c>
    </row>
    <row r="75" spans="2:16" ht="11.25">
      <c r="B75" s="3" t="s">
        <v>15</v>
      </c>
      <c r="C75" s="34">
        <v>0</v>
      </c>
      <c r="D75" s="31">
        <v>0</v>
      </c>
      <c r="E75" s="31">
        <v>0</v>
      </c>
      <c r="F75" s="51">
        <v>0</v>
      </c>
      <c r="G75" s="34">
        <v>0</v>
      </c>
      <c r="H75" s="34">
        <v>0</v>
      </c>
      <c r="I75" s="34">
        <v>0</v>
      </c>
      <c r="J75" s="34">
        <v>0</v>
      </c>
      <c r="K75" s="35">
        <v>0</v>
      </c>
      <c r="L75" s="31">
        <v>0</v>
      </c>
      <c r="M75" s="31">
        <v>0</v>
      </c>
      <c r="N75" s="31">
        <v>0</v>
      </c>
      <c r="O75" s="34">
        <v>0</v>
      </c>
      <c r="P75" s="34">
        <v>0</v>
      </c>
    </row>
    <row r="76" spans="2:16" ht="11.25">
      <c r="B76" s="3" t="s">
        <v>16</v>
      </c>
      <c r="C76" s="34">
        <f aca="true" t="shared" si="30" ref="C76:I76">(C21/G21)-1</f>
        <v>-0.7136973733603946</v>
      </c>
      <c r="D76" s="31">
        <f t="shared" si="30"/>
        <v>-0.5559419920589421</v>
      </c>
      <c r="E76" s="31">
        <f t="shared" si="30"/>
        <v>-0.005151895886713165</v>
      </c>
      <c r="F76" s="51">
        <f t="shared" si="30"/>
        <v>0.9571102616963676</v>
      </c>
      <c r="G76" s="34">
        <f t="shared" si="30"/>
        <v>3.0817819994405022</v>
      </c>
      <c r="H76" s="34">
        <f t="shared" si="30"/>
        <v>1.7481357000315092</v>
      </c>
      <c r="I76" s="34">
        <f t="shared" si="30"/>
        <v>-0.08091876355201455</v>
      </c>
      <c r="J76" s="34">
        <f>+(J21/N21)-1</f>
        <v>-0.4001144290649825</v>
      </c>
      <c r="K76" s="35">
        <f>+(K21/O21)-1</f>
        <v>-0.27997692761956205</v>
      </c>
      <c r="L76" s="31">
        <f>+(L21/189647)-1</f>
        <v>-0.09633160556191245</v>
      </c>
      <c r="M76" s="31">
        <f>+(M21/195735)-1</f>
        <v>0.013155541931693326</v>
      </c>
      <c r="N76" s="31">
        <f>+(N21/209979)-1</f>
        <v>0.08208439891608199</v>
      </c>
      <c r="O76" s="34">
        <f>+(O21/P21)-1</f>
        <v>0.06039261754740255</v>
      </c>
      <c r="P76" s="34">
        <f>+(P21/344005)-1</f>
        <v>-0.4011656807313847</v>
      </c>
    </row>
    <row r="77" spans="1:16" ht="11.25">
      <c r="A77" s="3" t="s">
        <v>66</v>
      </c>
      <c r="C77" s="34">
        <f aca="true" t="shared" si="31" ref="C77:I77">(C25/G25)-1</f>
        <v>0.30207721892713524</v>
      </c>
      <c r="D77" s="31">
        <f t="shared" si="31"/>
        <v>0.20902963639924277</v>
      </c>
      <c r="E77" s="31">
        <f t="shared" si="31"/>
        <v>0.09321926946237324</v>
      </c>
      <c r="F77" s="51">
        <f t="shared" si="31"/>
        <v>-0.051840822956145116</v>
      </c>
      <c r="G77" s="34">
        <f t="shared" si="31"/>
        <v>0.05039248345863978</v>
      </c>
      <c r="H77" s="34">
        <f t="shared" si="31"/>
        <v>0.14552779413551686</v>
      </c>
      <c r="I77" s="34">
        <f t="shared" si="31"/>
        <v>0.06486201103911693</v>
      </c>
      <c r="J77" s="31">
        <f>+(J25/N25)-1</f>
        <v>0.0951458613329117</v>
      </c>
      <c r="K77" s="35">
        <f>+(K25/O25)-1</f>
        <v>0.11130769152102093</v>
      </c>
      <c r="L77" s="31">
        <f>+(L25/93117)-1</f>
        <v>0.1489094365153516</v>
      </c>
      <c r="M77" s="31">
        <f>+(M25/89931)-1</f>
        <v>0.15838809754144845</v>
      </c>
      <c r="N77" s="31">
        <f>+(N25/87045)-1</f>
        <v>0.16252513067953367</v>
      </c>
      <c r="O77" s="31">
        <f>+(O25/P25)-1</f>
        <v>0.16200831847890673</v>
      </c>
      <c r="P77" s="31">
        <f>(P25/72661)-1</f>
        <v>0.1581178348770318</v>
      </c>
    </row>
    <row r="78" spans="1:16" ht="11.25">
      <c r="A78" s="4" t="s">
        <v>67</v>
      </c>
      <c r="B78" s="4"/>
      <c r="C78" s="37">
        <f aca="true" t="shared" si="32" ref="C78:I78">(C40/G40)-1</f>
        <v>4.184812030075188</v>
      </c>
      <c r="D78" s="37">
        <f t="shared" si="32"/>
        <v>1.4507346585998273</v>
      </c>
      <c r="E78" s="37">
        <f t="shared" si="32"/>
        <v>2.1479028697571745</v>
      </c>
      <c r="F78" s="53">
        <f t="shared" si="32"/>
        <v>-5.212261960055736</v>
      </c>
      <c r="G78" s="37">
        <f t="shared" si="32"/>
        <v>-0.3890113928702683</v>
      </c>
      <c r="H78" s="37">
        <f t="shared" si="32"/>
        <v>0.5088024342534232</v>
      </c>
      <c r="I78" s="37">
        <f t="shared" si="32"/>
        <v>-0.6457062412013139</v>
      </c>
      <c r="J78" s="37">
        <f>+(J40/N40)-1</f>
        <v>-0.36880680152447964</v>
      </c>
      <c r="K78" s="41">
        <f>+(K40/O40)-1</f>
        <v>-0.20152593353385662</v>
      </c>
      <c r="L78" s="37">
        <f>+(L40/8968)-1</f>
        <v>0.026092774308652977</v>
      </c>
      <c r="M78" s="37">
        <f>+(M40/5781)-1</f>
        <v>0.10586403736377781</v>
      </c>
      <c r="N78" s="37">
        <f>+(N40/2896)-1</f>
        <v>0.1778314917127073</v>
      </c>
      <c r="O78" s="37">
        <f>+(O40/P40)-1</f>
        <v>0.3959037378392216</v>
      </c>
      <c r="P78" s="37">
        <f>+(P40/8302)-1</f>
        <v>0.17622259696458675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2017-06-16T17:20:16Z</dcterms:created>
  <dcterms:modified xsi:type="dcterms:W3CDTF">2017-06-16T17:20:19Z</dcterms:modified>
  <cp:category/>
  <cp:version/>
  <cp:contentType/>
  <cp:contentStatus/>
</cp:coreProperties>
</file>