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Occidente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<sst xmlns="http://schemas.openxmlformats.org/spreadsheetml/2006/main" count="89" uniqueCount="68">
  <si>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19-16</t>
  </si>
  <si>
    <t>BANCO DE OCCIDENTE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</si>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</sst>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01" fontId="2" fillId="0" borderId="15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7" xfId="46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0" xfId="46" applyFont="1" applyAlignment="1">
      <alignment/>
    </xf>
    <xf numFmtId="43" fontId="3" fillId="0" borderId="16" xfId="46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5" xfId="0" applyFont="1" applyBorder="1" applyAlignment="1">
      <alignment/>
    </xf>
    <xf numFmtId="10" fontId="3" fillId="0" borderId="17" xfId="52" applyNumberFormat="1" applyFont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204" fontId="3" fillId="0" borderId="13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76200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11.421875" defaultRowHeight="12.75"/>
  <cols>
    <col min="1" max="1" width="3.7109375" style="2" customWidth="1"/>
    <col min="2" max="2" width="29.28125" style="2" customWidth="1"/>
    <col min="3" max="3" width="7.7109375" style="2" customWidth="1"/>
    <col min="4" max="4" width="8.421875" style="2" customWidth="1"/>
    <col min="5" max="5" width="7.8515625" style="2" customWidth="1"/>
    <col min="6" max="6" width="7.421875" style="2" customWidth="1"/>
    <col min="7" max="7" width="8.00390625" style="2" customWidth="1"/>
    <col min="8" max="8" width="8.140625" style="2" customWidth="1"/>
    <col min="9" max="9" width="7.7109375" style="2" customWidth="1"/>
    <col min="10" max="10" width="7.421875" style="2" customWidth="1"/>
    <col min="11" max="11" width="8.00390625" style="2" customWidth="1"/>
    <col min="12" max="12" width="8.28125" style="2" customWidth="1"/>
    <col min="13" max="14" width="7.421875" style="2" customWidth="1"/>
    <col min="15" max="15" width="6.28125" style="2" hidden="1" customWidth="1"/>
    <col min="16" max="16" width="6.421875" style="2" hidden="1" customWidth="1"/>
    <col min="17" max="18" width="11.421875" style="2" customWidth="1"/>
    <col min="19" max="16384" width="11.421875" style="1" customWidth="1"/>
  </cols>
  <sheetData>
    <row r="1" spans="2:16" ht="9.75" customHeight="1">
      <c r="B1" s="50"/>
      <c r="C1" s="50"/>
      <c r="D1" s="50"/>
      <c r="E1" s="50"/>
      <c r="F1" s="50"/>
      <c r="G1" s="50" t="s">
        <v>0</v>
      </c>
      <c r="H1" s="50"/>
      <c r="I1" s="50"/>
      <c r="J1" s="50"/>
      <c r="K1" s="50"/>
      <c r="L1" s="50"/>
      <c r="M1" s="50"/>
      <c r="N1" s="50"/>
      <c r="O1" s="50"/>
      <c r="P1" s="50"/>
    </row>
    <row r="2" spans="2:16" ht="9.75" customHeight="1">
      <c r="B2" s="50"/>
      <c r="C2" s="50"/>
      <c r="D2" s="50"/>
      <c r="E2" s="50"/>
      <c r="F2" s="50"/>
      <c r="G2" s="50" t="s">
        <v>1</v>
      </c>
      <c r="H2" s="50"/>
      <c r="I2" s="50"/>
      <c r="J2" s="50"/>
      <c r="K2" s="50"/>
      <c r="L2" s="50"/>
      <c r="M2" s="50"/>
      <c r="N2" s="50"/>
      <c r="O2" s="50"/>
      <c r="P2" s="50"/>
    </row>
    <row r="3" spans="2:16" ht="11.25">
      <c r="B3" s="50"/>
      <c r="C3" s="50"/>
      <c r="D3" s="50"/>
      <c r="E3" s="50"/>
      <c r="F3" s="50"/>
      <c r="G3" s="50" t="s">
        <v>2</v>
      </c>
      <c r="H3" s="50"/>
      <c r="I3" s="50"/>
      <c r="J3" s="50"/>
      <c r="K3" s="50"/>
      <c r="L3" s="50"/>
      <c r="M3" s="50"/>
      <c r="N3" s="50"/>
      <c r="O3" s="50"/>
      <c r="P3" s="50"/>
    </row>
    <row r="4" spans="1:16" ht="11.25">
      <c r="A4" s="1"/>
      <c r="B4" s="49"/>
      <c r="C4" s="49"/>
      <c r="D4" s="49"/>
      <c r="E4" s="49"/>
      <c r="F4" s="49"/>
      <c r="G4" s="49" t="s">
        <v>3</v>
      </c>
      <c r="H4" s="49"/>
      <c r="I4" s="49"/>
      <c r="J4" s="49"/>
      <c r="K4" s="49"/>
      <c r="L4" s="49"/>
      <c r="M4" s="49"/>
      <c r="N4" s="49"/>
      <c r="O4" s="49"/>
      <c r="P4" s="49"/>
    </row>
    <row r="5" spans="1:16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2">
        <v>2002</v>
      </c>
      <c r="D7" s="52"/>
      <c r="E7" s="52"/>
      <c r="F7" s="53"/>
      <c r="G7" s="52">
        <v>2001</v>
      </c>
      <c r="H7" s="52"/>
      <c r="I7" s="52"/>
      <c r="J7" s="52"/>
      <c r="K7" s="51">
        <v>2000</v>
      </c>
      <c r="L7" s="52"/>
      <c r="M7" s="52"/>
      <c r="N7" s="52"/>
      <c r="O7" s="52" t="s">
        <v>4</v>
      </c>
      <c r="P7" s="52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6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1"/>
      <c r="H9" s="11"/>
      <c r="I9" s="11"/>
      <c r="J9" s="14"/>
      <c r="K9" s="15"/>
      <c r="L9" s="16"/>
      <c r="M9" s="16"/>
      <c r="N9" s="16"/>
      <c r="O9" s="14"/>
      <c r="P9" s="14"/>
    </row>
    <row r="10" spans="1:16" ht="11.25">
      <c r="A10" s="2" t="s">
        <v>12</v>
      </c>
      <c r="C10" s="17">
        <v>218085</v>
      </c>
      <c r="D10" s="17">
        <v>221024</v>
      </c>
      <c r="E10" s="18">
        <v>220842</v>
      </c>
      <c r="F10" s="19">
        <v>215707</v>
      </c>
      <c r="G10" s="17">
        <v>197602</v>
      </c>
      <c r="H10" s="17">
        <v>215622</v>
      </c>
      <c r="I10" s="17">
        <v>215069</v>
      </c>
      <c r="J10" s="17">
        <v>207860</v>
      </c>
      <c r="K10" s="20">
        <v>207742</v>
      </c>
      <c r="L10" s="18">
        <v>198297</v>
      </c>
      <c r="M10" s="18">
        <v>192604</v>
      </c>
      <c r="N10" s="18">
        <v>197993</v>
      </c>
      <c r="O10" s="17">
        <v>198774</v>
      </c>
      <c r="P10" s="17">
        <v>183102</v>
      </c>
    </row>
    <row r="11" spans="1:16" ht="11.25">
      <c r="A11" s="2" t="s">
        <v>13</v>
      </c>
      <c r="C11" s="17">
        <v>127519</v>
      </c>
      <c r="D11" s="17">
        <v>96176</v>
      </c>
      <c r="E11" s="18">
        <v>73759</v>
      </c>
      <c r="F11" s="19">
        <v>63013</v>
      </c>
      <c r="G11" s="17">
        <v>69283</v>
      </c>
      <c r="H11" s="17">
        <v>88819</v>
      </c>
      <c r="I11" s="17">
        <v>88181</v>
      </c>
      <c r="J11" s="17">
        <v>72582</v>
      </c>
      <c r="K11" s="20">
        <v>89360</v>
      </c>
      <c r="L11" s="18">
        <v>93687</v>
      </c>
      <c r="M11" s="18">
        <v>53025</v>
      </c>
      <c r="N11" s="18">
        <v>65644</v>
      </c>
      <c r="O11" s="17">
        <v>74083</v>
      </c>
      <c r="P11" s="17">
        <v>108237</v>
      </c>
    </row>
    <row r="12" spans="1:16" ht="11.25">
      <c r="A12" s="2" t="s">
        <v>14</v>
      </c>
      <c r="C12" s="18">
        <f aca="true" t="shared" si="0" ref="C12:P12">C13+C14</f>
        <v>9586</v>
      </c>
      <c r="D12" s="18">
        <f t="shared" si="0"/>
        <v>21857</v>
      </c>
      <c r="E12" s="18">
        <f t="shared" si="0"/>
        <v>24504</v>
      </c>
      <c r="F12" s="19">
        <f t="shared" si="0"/>
        <v>16681</v>
      </c>
      <c r="G12" s="17">
        <f t="shared" si="0"/>
        <v>27119</v>
      </c>
      <c r="H12" s="17">
        <f t="shared" si="0"/>
        <v>25463</v>
      </c>
      <c r="I12" s="17">
        <f t="shared" si="0"/>
        <v>24879</v>
      </c>
      <c r="J12" s="17">
        <f t="shared" si="0"/>
        <v>25443</v>
      </c>
      <c r="K12" s="20">
        <f t="shared" si="0"/>
        <v>26065</v>
      </c>
      <c r="L12" s="18">
        <f t="shared" si="0"/>
        <v>28174</v>
      </c>
      <c r="M12" s="18">
        <f t="shared" si="0"/>
        <v>28593</v>
      </c>
      <c r="N12" s="18">
        <f t="shared" si="0"/>
        <v>28367</v>
      </c>
      <c r="O12" s="17">
        <f t="shared" si="0"/>
        <v>35786</v>
      </c>
      <c r="P12" s="17">
        <f t="shared" si="0"/>
        <v>30406</v>
      </c>
    </row>
    <row r="13" spans="2:16" ht="11.25">
      <c r="B13" s="2" t="s">
        <v>15</v>
      </c>
      <c r="C13" s="18">
        <v>0</v>
      </c>
      <c r="D13" s="18">
        <v>0</v>
      </c>
      <c r="E13" s="18">
        <v>0</v>
      </c>
      <c r="F13" s="19">
        <v>0</v>
      </c>
      <c r="G13" s="17">
        <v>0</v>
      </c>
      <c r="H13" s="17">
        <v>0</v>
      </c>
      <c r="I13" s="17">
        <v>0</v>
      </c>
      <c r="J13" s="17">
        <v>0</v>
      </c>
      <c r="K13" s="20">
        <v>0</v>
      </c>
      <c r="L13" s="18">
        <v>0</v>
      </c>
      <c r="M13" s="18">
        <v>0</v>
      </c>
      <c r="N13" s="18">
        <v>0</v>
      </c>
      <c r="O13" s="17">
        <v>0</v>
      </c>
      <c r="P13" s="17">
        <v>0</v>
      </c>
    </row>
    <row r="14" spans="2:16" ht="11.25">
      <c r="B14" s="2" t="s">
        <v>16</v>
      </c>
      <c r="C14" s="17">
        <v>9586</v>
      </c>
      <c r="D14" s="17">
        <v>21857</v>
      </c>
      <c r="E14" s="18">
        <v>24504</v>
      </c>
      <c r="F14" s="19">
        <v>16681</v>
      </c>
      <c r="G14" s="17">
        <v>27119</v>
      </c>
      <c r="H14" s="17">
        <v>25463</v>
      </c>
      <c r="I14" s="17">
        <v>24879</v>
      </c>
      <c r="J14" s="17">
        <v>25443</v>
      </c>
      <c r="K14" s="20">
        <v>26065</v>
      </c>
      <c r="L14" s="18">
        <v>28174</v>
      </c>
      <c r="M14" s="18">
        <v>28593</v>
      </c>
      <c r="N14" s="18">
        <v>28367</v>
      </c>
      <c r="O14" s="17">
        <v>35786</v>
      </c>
      <c r="P14" s="17">
        <v>30406</v>
      </c>
    </row>
    <row r="15" spans="1:16" ht="11.25">
      <c r="A15" s="2" t="s">
        <v>17</v>
      </c>
      <c r="C15" s="17">
        <v>78649</v>
      </c>
      <c r="D15" s="17">
        <v>99735</v>
      </c>
      <c r="E15" s="18">
        <v>119568</v>
      </c>
      <c r="F15" s="19">
        <v>131660</v>
      </c>
      <c r="G15" s="17">
        <v>98558</v>
      </c>
      <c r="H15" s="17">
        <v>97191</v>
      </c>
      <c r="I15" s="17">
        <v>97689</v>
      </c>
      <c r="J15" s="17">
        <v>104998</v>
      </c>
      <c r="K15" s="20">
        <v>88448</v>
      </c>
      <c r="L15" s="18">
        <v>73168</v>
      </c>
      <c r="M15" s="18">
        <v>106305</v>
      </c>
      <c r="N15" s="18">
        <v>99797</v>
      </c>
      <c r="O15" s="17">
        <v>84358</v>
      </c>
      <c r="P15" s="17">
        <v>40974</v>
      </c>
    </row>
    <row r="16" spans="1:16" ht="11.25">
      <c r="A16" s="2" t="s">
        <v>18</v>
      </c>
      <c r="C16" s="18">
        <f aca="true" t="shared" si="1" ref="C16:P16">C17+C21</f>
        <v>198974</v>
      </c>
      <c r="D16" s="18">
        <f t="shared" si="1"/>
        <v>207780</v>
      </c>
      <c r="E16" s="18">
        <f t="shared" si="1"/>
        <v>208272</v>
      </c>
      <c r="F16" s="19">
        <f t="shared" si="1"/>
        <v>204831</v>
      </c>
      <c r="G16" s="17">
        <f t="shared" si="1"/>
        <v>184203</v>
      </c>
      <c r="H16" s="17">
        <f t="shared" si="1"/>
        <v>197895</v>
      </c>
      <c r="I16" s="17">
        <f t="shared" si="1"/>
        <v>197601</v>
      </c>
      <c r="J16" s="17">
        <f t="shared" si="1"/>
        <v>190164</v>
      </c>
      <c r="K16" s="20">
        <f t="shared" si="1"/>
        <v>187892</v>
      </c>
      <c r="L16" s="18">
        <f t="shared" si="1"/>
        <v>177543</v>
      </c>
      <c r="M16" s="18">
        <f t="shared" si="1"/>
        <v>170174</v>
      </c>
      <c r="N16" s="18">
        <f t="shared" si="1"/>
        <v>179205</v>
      </c>
      <c r="O16" s="17">
        <f t="shared" si="1"/>
        <v>179208</v>
      </c>
      <c r="P16" s="17">
        <f t="shared" si="1"/>
        <v>170351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0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</row>
    <row r="18" spans="2:16" ht="11.25">
      <c r="B18" s="2" t="s">
        <v>19</v>
      </c>
      <c r="C18" s="18">
        <v>0</v>
      </c>
      <c r="D18" s="18">
        <v>0</v>
      </c>
      <c r="E18" s="18">
        <v>0</v>
      </c>
      <c r="F18" s="19">
        <v>0</v>
      </c>
      <c r="G18" s="17">
        <v>0</v>
      </c>
      <c r="H18" s="17">
        <v>0</v>
      </c>
      <c r="I18" s="17">
        <v>0</v>
      </c>
      <c r="J18" s="17"/>
      <c r="K18" s="20">
        <v>0</v>
      </c>
      <c r="L18" s="18">
        <v>0</v>
      </c>
      <c r="M18" s="18">
        <v>0</v>
      </c>
      <c r="N18" s="18">
        <v>0</v>
      </c>
      <c r="O18" s="17">
        <v>0</v>
      </c>
      <c r="P18" s="17">
        <v>0</v>
      </c>
    </row>
    <row r="19" spans="2:16" ht="11.25">
      <c r="B19" s="2" t="s">
        <v>20</v>
      </c>
      <c r="C19" s="18">
        <v>0</v>
      </c>
      <c r="D19" s="18">
        <v>0</v>
      </c>
      <c r="E19" s="18">
        <v>0</v>
      </c>
      <c r="F19" s="19">
        <v>0</v>
      </c>
      <c r="G19" s="17">
        <v>0</v>
      </c>
      <c r="H19" s="17">
        <v>0</v>
      </c>
      <c r="I19" s="17">
        <v>0</v>
      </c>
      <c r="J19" s="17">
        <v>0</v>
      </c>
      <c r="K19" s="20">
        <v>0</v>
      </c>
      <c r="L19" s="18">
        <v>0</v>
      </c>
      <c r="M19" s="18">
        <v>0</v>
      </c>
      <c r="N19" s="18">
        <v>0</v>
      </c>
      <c r="O19" s="17">
        <v>0</v>
      </c>
      <c r="P19" s="17">
        <v>0</v>
      </c>
    </row>
    <row r="20" spans="2:16" ht="11.25">
      <c r="B20" s="2" t="s">
        <v>21</v>
      </c>
      <c r="C20" s="18">
        <v>0</v>
      </c>
      <c r="D20" s="18">
        <v>0</v>
      </c>
      <c r="E20" s="18">
        <v>0</v>
      </c>
      <c r="F20" s="19">
        <v>0</v>
      </c>
      <c r="G20" s="17">
        <v>0</v>
      </c>
      <c r="H20" s="17">
        <v>0</v>
      </c>
      <c r="I20" s="17">
        <v>0</v>
      </c>
      <c r="J20" s="17">
        <v>0</v>
      </c>
      <c r="K20" s="20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+C22+C23+C24</f>
        <v>198974</v>
      </c>
      <c r="D21" s="18">
        <f>+D22+D23+D24</f>
        <v>207780</v>
      </c>
      <c r="E21" s="18">
        <f>+E22+E23+E24</f>
        <v>208272</v>
      </c>
      <c r="F21" s="19">
        <f>+F22+F23+F24</f>
        <v>204831</v>
      </c>
      <c r="G21" s="17">
        <f aca="true" t="shared" si="3" ref="G21:P21">SUM(G23:G24)</f>
        <v>184203</v>
      </c>
      <c r="H21" s="17">
        <f t="shared" si="3"/>
        <v>197895</v>
      </c>
      <c r="I21" s="17">
        <f t="shared" si="3"/>
        <v>197601</v>
      </c>
      <c r="J21" s="17">
        <f t="shared" si="3"/>
        <v>190164</v>
      </c>
      <c r="K21" s="20">
        <f t="shared" si="3"/>
        <v>187892</v>
      </c>
      <c r="L21" s="18">
        <f t="shared" si="3"/>
        <v>177543</v>
      </c>
      <c r="M21" s="18">
        <f t="shared" si="3"/>
        <v>170174</v>
      </c>
      <c r="N21" s="18">
        <f t="shared" si="3"/>
        <v>179205</v>
      </c>
      <c r="O21" s="17">
        <f t="shared" si="3"/>
        <v>179208</v>
      </c>
      <c r="P21" s="17">
        <f t="shared" si="3"/>
        <v>170351</v>
      </c>
    </row>
    <row r="22" spans="2:16" ht="11.25">
      <c r="B22" s="2" t="s">
        <v>19</v>
      </c>
      <c r="C22" s="18"/>
      <c r="D22" s="18"/>
      <c r="E22" s="18"/>
      <c r="F22" s="19"/>
      <c r="G22" s="17"/>
      <c r="H22" s="17"/>
      <c r="I22" s="17"/>
      <c r="J22" s="17"/>
      <c r="K22" s="20"/>
      <c r="L22" s="18"/>
      <c r="M22" s="18"/>
      <c r="N22" s="18"/>
      <c r="O22" s="17"/>
      <c r="P22" s="17"/>
    </row>
    <row r="23" spans="2:16" ht="11.25">
      <c r="B23" s="2" t="s">
        <v>20</v>
      </c>
      <c r="C23" s="17">
        <v>198269</v>
      </c>
      <c r="D23" s="17">
        <v>207044</v>
      </c>
      <c r="E23" s="18">
        <v>207401</v>
      </c>
      <c r="F23" s="19">
        <f>186971+16947</f>
        <v>203918</v>
      </c>
      <c r="G23" s="17">
        <f>12208+171504</f>
        <v>183712</v>
      </c>
      <c r="H23" s="17">
        <f>183201+13849</f>
        <v>197050</v>
      </c>
      <c r="I23" s="17">
        <v>196793</v>
      </c>
      <c r="J23" s="17">
        <v>189765</v>
      </c>
      <c r="K23" s="20">
        <f>168515+11525</f>
        <v>180040</v>
      </c>
      <c r="L23" s="18">
        <v>170136</v>
      </c>
      <c r="M23" s="18">
        <v>161706</v>
      </c>
      <c r="N23" s="18">
        <v>171197</v>
      </c>
      <c r="O23" s="17">
        <v>172921</v>
      </c>
      <c r="P23" s="17">
        <v>158201</v>
      </c>
    </row>
    <row r="24" spans="2:16" ht="11.25">
      <c r="B24" s="2" t="s">
        <v>21</v>
      </c>
      <c r="C24" s="17">
        <v>705</v>
      </c>
      <c r="D24" s="17">
        <v>736</v>
      </c>
      <c r="E24" s="18">
        <v>871</v>
      </c>
      <c r="F24" s="19">
        <f>432+5+476</f>
        <v>913</v>
      </c>
      <c r="G24" s="17">
        <f>486+5</f>
        <v>491</v>
      </c>
      <c r="H24" s="17">
        <f>342+498+5</f>
        <v>845</v>
      </c>
      <c r="I24" s="17">
        <v>808</v>
      </c>
      <c r="J24" s="17">
        <v>399</v>
      </c>
      <c r="K24" s="20">
        <f>373+6+7333+114+26</f>
        <v>7852</v>
      </c>
      <c r="L24" s="18">
        <v>7407</v>
      </c>
      <c r="M24" s="18">
        <f>7468+1000</f>
        <v>8468</v>
      </c>
      <c r="N24" s="18">
        <v>8008</v>
      </c>
      <c r="O24" s="17">
        <v>6287</v>
      </c>
      <c r="P24" s="17">
        <v>12150</v>
      </c>
    </row>
    <row r="25" spans="1:16" ht="11.25">
      <c r="A25" s="3" t="s">
        <v>22</v>
      </c>
      <c r="B25" s="3"/>
      <c r="C25" s="21">
        <v>17419</v>
      </c>
      <c r="D25" s="21">
        <v>11051</v>
      </c>
      <c r="E25" s="21">
        <v>9442</v>
      </c>
      <c r="F25" s="22">
        <v>8247</v>
      </c>
      <c r="G25" s="21">
        <v>11207</v>
      </c>
      <c r="H25" s="21">
        <v>10460</v>
      </c>
      <c r="I25" s="21">
        <v>9780</v>
      </c>
      <c r="J25" s="21">
        <v>8560</v>
      </c>
      <c r="K25" s="23">
        <v>10736</v>
      </c>
      <c r="L25" s="21">
        <v>10041</v>
      </c>
      <c r="M25" s="21">
        <v>9204</v>
      </c>
      <c r="N25" s="21">
        <v>8460</v>
      </c>
      <c r="O25" s="21">
        <v>9374</v>
      </c>
      <c r="P25" s="21">
        <v>8407</v>
      </c>
    </row>
    <row r="26" spans="1:16" ht="11.25">
      <c r="A26" s="11" t="s">
        <v>23</v>
      </c>
      <c r="C26" s="5"/>
      <c r="D26" s="17"/>
      <c r="E26" s="18"/>
      <c r="F26" s="24"/>
      <c r="J26" s="17"/>
      <c r="K26" s="20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207843.5</v>
      </c>
      <c r="D27" s="18">
        <f t="shared" si="4"/>
        <v>218323</v>
      </c>
      <c r="E27" s="18">
        <f t="shared" si="4"/>
        <v>217955.5</v>
      </c>
      <c r="F27" s="19">
        <f t="shared" si="4"/>
        <v>211783.5</v>
      </c>
      <c r="G27" s="17">
        <f t="shared" si="4"/>
        <v>202672</v>
      </c>
      <c r="H27" s="17">
        <f t="shared" si="4"/>
        <v>206959.5</v>
      </c>
      <c r="I27" s="17">
        <f t="shared" si="4"/>
        <v>203836.5</v>
      </c>
      <c r="J27" s="17">
        <f>+(J10+N10)/2</f>
        <v>202926.5</v>
      </c>
      <c r="K27" s="20">
        <f>+(K10+O10)/2</f>
        <v>203258</v>
      </c>
      <c r="L27" s="18">
        <f>+(187746+L10)/2</f>
        <v>193021.5</v>
      </c>
      <c r="M27" s="18">
        <f>+(185892+M10)/2</f>
        <v>189248</v>
      </c>
      <c r="N27" s="18">
        <f>+(178558+N10)/2</f>
        <v>188275.5</v>
      </c>
      <c r="O27" s="17">
        <f>(O10+P10)/2</f>
        <v>190938</v>
      </c>
      <c r="P27" s="17">
        <f>(P10+150332)/2</f>
        <v>166717</v>
      </c>
    </row>
    <row r="28" spans="1:16" ht="11.25">
      <c r="A28" s="2" t="s">
        <v>24</v>
      </c>
      <c r="C28" s="18">
        <f aca="true" t="shared" si="5" ref="C28:P28">C29+C30</f>
        <v>106956</v>
      </c>
      <c r="D28" s="18">
        <f t="shared" si="5"/>
        <v>122123</v>
      </c>
      <c r="E28" s="18">
        <f t="shared" si="5"/>
        <v>133320</v>
      </c>
      <c r="F28" s="19">
        <f t="shared" si="5"/>
        <v>139391</v>
      </c>
      <c r="G28" s="17">
        <f t="shared" si="5"/>
        <v>120095</v>
      </c>
      <c r="H28" s="17">
        <f t="shared" si="5"/>
        <v>111998</v>
      </c>
      <c r="I28" s="17">
        <f t="shared" si="5"/>
        <v>128733</v>
      </c>
      <c r="J28" s="17">
        <f t="shared" si="5"/>
        <v>129302.5</v>
      </c>
      <c r="K28" s="20">
        <f t="shared" si="5"/>
        <v>117328.5</v>
      </c>
      <c r="L28" s="18">
        <f t="shared" si="5"/>
        <v>96269.5</v>
      </c>
      <c r="M28" s="18">
        <f t="shared" si="5"/>
        <v>114595</v>
      </c>
      <c r="N28" s="18">
        <f t="shared" si="5"/>
        <v>108017.5</v>
      </c>
      <c r="O28" s="17">
        <f t="shared" si="5"/>
        <v>95762</v>
      </c>
      <c r="P28" s="17">
        <f t="shared" si="5"/>
        <v>84554</v>
      </c>
    </row>
    <row r="29" spans="2:16" ht="11.25">
      <c r="B29" s="2" t="s">
        <v>14</v>
      </c>
      <c r="C29" s="18">
        <f aca="true" t="shared" si="6" ref="C29:I29">(C12+G12)/2</f>
        <v>18352.5</v>
      </c>
      <c r="D29" s="18">
        <f t="shared" si="6"/>
        <v>23660</v>
      </c>
      <c r="E29" s="18">
        <f t="shared" si="6"/>
        <v>24691.5</v>
      </c>
      <c r="F29" s="19">
        <f t="shared" si="6"/>
        <v>21062</v>
      </c>
      <c r="G29" s="17">
        <f t="shared" si="6"/>
        <v>26592</v>
      </c>
      <c r="H29" s="17">
        <f t="shared" si="6"/>
        <v>26818.5</v>
      </c>
      <c r="I29" s="17">
        <f t="shared" si="6"/>
        <v>26736</v>
      </c>
      <c r="J29" s="17">
        <f>+(J12+N12)/2</f>
        <v>26905</v>
      </c>
      <c r="K29" s="20">
        <f>+(K12+O12)/2</f>
        <v>30925.5</v>
      </c>
      <c r="L29" s="18">
        <f>+(42610+L12)/2</f>
        <v>35392</v>
      </c>
      <c r="M29" s="18">
        <f>+(41690+M12)/2</f>
        <v>35141.5</v>
      </c>
      <c r="N29" s="18">
        <f>+(35270+N12)/2</f>
        <v>31818.5</v>
      </c>
      <c r="O29" s="17">
        <f>(O12+P12)/2</f>
        <v>33096</v>
      </c>
      <c r="P29" s="17">
        <f>(P12+36523)/2</f>
        <v>33464.5</v>
      </c>
    </row>
    <row r="30" spans="2:16" ht="11.25">
      <c r="B30" s="2" t="s">
        <v>17</v>
      </c>
      <c r="C30" s="18">
        <f aca="true" t="shared" si="7" ref="C30:I30">(C15+G15)/2</f>
        <v>88603.5</v>
      </c>
      <c r="D30" s="18">
        <f t="shared" si="7"/>
        <v>98463</v>
      </c>
      <c r="E30" s="18">
        <f t="shared" si="7"/>
        <v>108628.5</v>
      </c>
      <c r="F30" s="19">
        <f t="shared" si="7"/>
        <v>118329</v>
      </c>
      <c r="G30" s="17">
        <f t="shared" si="7"/>
        <v>93503</v>
      </c>
      <c r="H30" s="17">
        <f t="shared" si="7"/>
        <v>85179.5</v>
      </c>
      <c r="I30" s="17">
        <f t="shared" si="7"/>
        <v>101997</v>
      </c>
      <c r="J30" s="17">
        <f>+(J15+N15)/2</f>
        <v>102397.5</v>
      </c>
      <c r="K30" s="20">
        <f>+(K15+O15)/2</f>
        <v>86403</v>
      </c>
      <c r="L30" s="18">
        <f>+(48587+L15)/2</f>
        <v>60877.5</v>
      </c>
      <c r="M30" s="18">
        <f>+(52602+M15)/2</f>
        <v>79453.5</v>
      </c>
      <c r="N30" s="18">
        <f>+(52601+N15)/2</f>
        <v>76199</v>
      </c>
      <c r="O30" s="17">
        <f>(O15+P15)/2</f>
        <v>62666</v>
      </c>
      <c r="P30" s="17">
        <f>(P15+61205)/2</f>
        <v>51089.5</v>
      </c>
    </row>
    <row r="31" spans="1:16" ht="11.25">
      <c r="A31" s="3" t="s">
        <v>22</v>
      </c>
      <c r="B31" s="3"/>
      <c r="C31" s="21">
        <f aca="true" t="shared" si="8" ref="C31:I31">(C25+G25)/2</f>
        <v>14313</v>
      </c>
      <c r="D31" s="18">
        <f t="shared" si="8"/>
        <v>10755.5</v>
      </c>
      <c r="E31" s="18">
        <f t="shared" si="8"/>
        <v>9611</v>
      </c>
      <c r="F31" s="22">
        <f t="shared" si="8"/>
        <v>8403.5</v>
      </c>
      <c r="G31" s="21">
        <f t="shared" si="8"/>
        <v>10971.5</v>
      </c>
      <c r="H31" s="21">
        <f t="shared" si="8"/>
        <v>10250.5</v>
      </c>
      <c r="I31" s="21">
        <f t="shared" si="8"/>
        <v>9492</v>
      </c>
      <c r="J31" s="21">
        <f>+(J25+N25)/2</f>
        <v>8510</v>
      </c>
      <c r="K31" s="23">
        <f>+(K25+O25)/2</f>
        <v>10055</v>
      </c>
      <c r="L31" s="21">
        <f>+(8792+L25)/2</f>
        <v>9416.5</v>
      </c>
      <c r="M31" s="21">
        <f>+(8029+M25)/2</f>
        <v>8616.5</v>
      </c>
      <c r="N31" s="21">
        <f>+(8029+N25)/2</f>
        <v>8244.5</v>
      </c>
      <c r="O31" s="21">
        <f>(O25+P25)/2</f>
        <v>8890.5</v>
      </c>
      <c r="P31" s="21">
        <f>(P25+9278)/2</f>
        <v>8842.5</v>
      </c>
    </row>
    <row r="32" spans="1:14" ht="11.25">
      <c r="A32" s="11" t="s">
        <v>25</v>
      </c>
      <c r="D32" s="25"/>
      <c r="E32" s="25"/>
      <c r="F32" s="24"/>
      <c r="J32" s="17"/>
      <c r="K32" s="26"/>
      <c r="L32" s="4"/>
      <c r="M32" s="4"/>
      <c r="N32" s="4"/>
    </row>
    <row r="33" spans="1:16" ht="11.25">
      <c r="A33" s="2" t="s">
        <v>26</v>
      </c>
      <c r="C33" s="17">
        <v>13272</v>
      </c>
      <c r="D33" s="18">
        <v>10017</v>
      </c>
      <c r="E33" s="18">
        <v>6113</v>
      </c>
      <c r="F33" s="19">
        <v>2752</v>
      </c>
      <c r="G33" s="17">
        <v>13395</v>
      </c>
      <c r="H33" s="17">
        <v>10531</v>
      </c>
      <c r="I33" s="17">
        <v>7227</v>
      </c>
      <c r="J33" s="17">
        <v>3654</v>
      </c>
      <c r="K33" s="20">
        <v>14953</v>
      </c>
      <c r="L33" s="18">
        <v>11337</v>
      </c>
      <c r="M33" s="18">
        <v>7585</v>
      </c>
      <c r="N33" s="18">
        <v>3740</v>
      </c>
      <c r="O33" s="17">
        <v>12077</v>
      </c>
      <c r="P33" s="17">
        <v>11158</v>
      </c>
    </row>
    <row r="34" spans="1:16" ht="11.25">
      <c r="A34" s="2" t="s">
        <v>27</v>
      </c>
      <c r="C34" s="17">
        <v>7996</v>
      </c>
      <c r="D34" s="18">
        <v>6152</v>
      </c>
      <c r="E34" s="18">
        <v>4101</v>
      </c>
      <c r="F34" s="19">
        <v>2056</v>
      </c>
      <c r="G34" s="17">
        <v>11288</v>
      </c>
      <c r="H34" s="17">
        <v>8921</v>
      </c>
      <c r="I34" s="17">
        <v>6172</v>
      </c>
      <c r="J34" s="17">
        <v>3176</v>
      </c>
      <c r="K34" s="20">
        <v>12065</v>
      </c>
      <c r="L34" s="18">
        <v>8869</v>
      </c>
      <c r="M34" s="18">
        <v>5882</v>
      </c>
      <c r="N34" s="18">
        <v>2866</v>
      </c>
      <c r="O34" s="17">
        <v>10421</v>
      </c>
      <c r="P34" s="17">
        <v>10170</v>
      </c>
    </row>
    <row r="35" spans="1:16" ht="11.25">
      <c r="A35" s="2" t="s">
        <v>28</v>
      </c>
      <c r="C35" s="17">
        <f>+C33-C34</f>
        <v>5276</v>
      </c>
      <c r="D35" s="18">
        <f>+D33-D34</f>
        <v>3865</v>
      </c>
      <c r="E35" s="18">
        <f>+E33-E34</f>
        <v>2012</v>
      </c>
      <c r="F35" s="19">
        <f>+F33-F34</f>
        <v>696</v>
      </c>
      <c r="G35" s="17">
        <f>+G33-G34</f>
        <v>2107</v>
      </c>
      <c r="H35" s="17">
        <f aca="true" t="shared" si="9" ref="H35:P35">H33-H34</f>
        <v>1610</v>
      </c>
      <c r="I35" s="17">
        <f t="shared" si="9"/>
        <v>1055</v>
      </c>
      <c r="J35" s="17">
        <f t="shared" si="9"/>
        <v>478</v>
      </c>
      <c r="K35" s="20">
        <f t="shared" si="9"/>
        <v>2888</v>
      </c>
      <c r="L35" s="18">
        <f t="shared" si="9"/>
        <v>2468</v>
      </c>
      <c r="M35" s="18">
        <f t="shared" si="9"/>
        <v>1703</v>
      </c>
      <c r="N35" s="18">
        <f t="shared" si="9"/>
        <v>874</v>
      </c>
      <c r="O35" s="17">
        <f t="shared" si="9"/>
        <v>1656</v>
      </c>
      <c r="P35" s="17">
        <f t="shared" si="9"/>
        <v>988</v>
      </c>
    </row>
    <row r="36" spans="1:16" ht="11.25">
      <c r="A36" s="2" t="s">
        <v>29</v>
      </c>
      <c r="C36" s="17">
        <v>1644</v>
      </c>
      <c r="D36" s="18">
        <v>949</v>
      </c>
      <c r="E36" s="18">
        <v>819</v>
      </c>
      <c r="F36" s="19">
        <v>560</v>
      </c>
      <c r="G36" s="17">
        <v>2546</v>
      </c>
      <c r="H36" s="17">
        <v>1942</v>
      </c>
      <c r="I36" s="17">
        <v>1351</v>
      </c>
      <c r="J36" s="17">
        <v>727</v>
      </c>
      <c r="K36" s="20">
        <v>2768</v>
      </c>
      <c r="L36" s="18">
        <v>2061</v>
      </c>
      <c r="M36" s="18">
        <v>1334</v>
      </c>
      <c r="N36" s="18">
        <v>604</v>
      </c>
      <c r="O36" s="17">
        <v>1496</v>
      </c>
      <c r="P36" s="17">
        <v>2452</v>
      </c>
    </row>
    <row r="37" spans="1:16" ht="11.25">
      <c r="A37" s="2" t="s">
        <v>30</v>
      </c>
      <c r="C37" s="17">
        <f>+C36+C35</f>
        <v>6920</v>
      </c>
      <c r="D37" s="18">
        <f>+D36+D35</f>
        <v>4814</v>
      </c>
      <c r="E37" s="18">
        <f>+E36+E35</f>
        <v>2831</v>
      </c>
      <c r="F37" s="19">
        <f>+F36+F35</f>
        <v>1256</v>
      </c>
      <c r="G37" s="17">
        <f>+G35+G36</f>
        <v>4653</v>
      </c>
      <c r="H37" s="17">
        <f aca="true" t="shared" si="10" ref="H37:P37">H35+H36</f>
        <v>3552</v>
      </c>
      <c r="I37" s="17">
        <f t="shared" si="10"/>
        <v>2406</v>
      </c>
      <c r="J37" s="17">
        <f t="shared" si="10"/>
        <v>1205</v>
      </c>
      <c r="K37" s="20">
        <f t="shared" si="10"/>
        <v>5656</v>
      </c>
      <c r="L37" s="18">
        <f t="shared" si="10"/>
        <v>4529</v>
      </c>
      <c r="M37" s="18">
        <f t="shared" si="10"/>
        <v>3037</v>
      </c>
      <c r="N37" s="18">
        <f t="shared" si="10"/>
        <v>1478</v>
      </c>
      <c r="O37" s="17">
        <f t="shared" si="10"/>
        <v>3152</v>
      </c>
      <c r="P37" s="17">
        <f t="shared" si="10"/>
        <v>3440</v>
      </c>
    </row>
    <row r="38" spans="1:16" ht="11.25">
      <c r="A38" s="2" t="s">
        <v>31</v>
      </c>
      <c r="C38" s="17">
        <v>1777</v>
      </c>
      <c r="D38" s="18">
        <v>1356</v>
      </c>
      <c r="E38" s="18">
        <v>958</v>
      </c>
      <c r="F38" s="19">
        <v>491</v>
      </c>
      <c r="G38" s="17">
        <v>1629</v>
      </c>
      <c r="H38" s="17">
        <v>1224</v>
      </c>
      <c r="I38" s="17">
        <v>838</v>
      </c>
      <c r="J38" s="17">
        <v>416</v>
      </c>
      <c r="K38" s="20">
        <v>2541</v>
      </c>
      <c r="L38" s="18">
        <v>2140</v>
      </c>
      <c r="M38" s="18">
        <v>1516</v>
      </c>
      <c r="N38" s="18">
        <v>731</v>
      </c>
      <c r="O38" s="17">
        <v>1612</v>
      </c>
      <c r="P38" s="17">
        <v>1252</v>
      </c>
    </row>
    <row r="39" spans="1:16" ht="11.25">
      <c r="A39" s="2" t="s">
        <v>32</v>
      </c>
      <c r="C39" s="17">
        <f>+C37-C38</f>
        <v>5143</v>
      </c>
      <c r="D39" s="18">
        <f>+D37-D38</f>
        <v>3458</v>
      </c>
      <c r="E39" s="18">
        <f>+E37-E38</f>
        <v>1873</v>
      </c>
      <c r="F39" s="19">
        <f>+F37-F38</f>
        <v>765</v>
      </c>
      <c r="G39" s="17">
        <f>+G37-G38</f>
        <v>3024</v>
      </c>
      <c r="H39" s="17">
        <f aca="true" t="shared" si="11" ref="H39:P39">H37-H38</f>
        <v>2328</v>
      </c>
      <c r="I39" s="17">
        <f t="shared" si="11"/>
        <v>1568</v>
      </c>
      <c r="J39" s="17">
        <f t="shared" si="11"/>
        <v>789</v>
      </c>
      <c r="K39" s="20">
        <f t="shared" si="11"/>
        <v>3115</v>
      </c>
      <c r="L39" s="18">
        <f t="shared" si="11"/>
        <v>2389</v>
      </c>
      <c r="M39" s="18">
        <f t="shared" si="11"/>
        <v>1521</v>
      </c>
      <c r="N39" s="18">
        <f t="shared" si="11"/>
        <v>747</v>
      </c>
      <c r="O39" s="17">
        <f t="shared" si="11"/>
        <v>1540</v>
      </c>
      <c r="P39" s="17">
        <f t="shared" si="11"/>
        <v>2188</v>
      </c>
    </row>
    <row r="40" spans="1:16" ht="11.25">
      <c r="A40" s="3" t="s">
        <v>33</v>
      </c>
      <c r="B40" s="3"/>
      <c r="C40" s="21">
        <v>5143</v>
      </c>
      <c r="D40" s="21">
        <v>3459</v>
      </c>
      <c r="E40" s="21">
        <v>1873</v>
      </c>
      <c r="F40" s="22">
        <v>765</v>
      </c>
      <c r="G40" s="21">
        <v>3024</v>
      </c>
      <c r="H40" s="21">
        <v>2328</v>
      </c>
      <c r="I40" s="21">
        <v>1568</v>
      </c>
      <c r="J40" s="21">
        <v>789</v>
      </c>
      <c r="K40" s="23">
        <v>2965</v>
      </c>
      <c r="L40" s="21">
        <v>2389</v>
      </c>
      <c r="M40" s="21">
        <v>1521</v>
      </c>
      <c r="N40" s="21">
        <v>687</v>
      </c>
      <c r="O40" s="21">
        <v>1520</v>
      </c>
      <c r="P40" s="21">
        <v>636</v>
      </c>
    </row>
    <row r="41" spans="1:16" ht="11.25">
      <c r="A41" s="27" t="s">
        <v>34</v>
      </c>
      <c r="B41" s="5"/>
      <c r="C41" s="4"/>
      <c r="D41" s="17"/>
      <c r="E41" s="18"/>
      <c r="F41" s="24"/>
      <c r="G41" s="4"/>
      <c r="H41" s="4"/>
      <c r="I41" s="17"/>
      <c r="J41" s="5"/>
      <c r="K41" s="28"/>
      <c r="L41" s="5"/>
      <c r="M41" s="5"/>
      <c r="N41" s="4"/>
      <c r="O41" s="5"/>
      <c r="P41" s="5"/>
    </row>
    <row r="42" spans="1:16" ht="11.25">
      <c r="A42" s="4" t="s">
        <v>35</v>
      </c>
      <c r="B42" s="4"/>
      <c r="C42" s="18">
        <v>0</v>
      </c>
      <c r="D42" s="18">
        <v>0</v>
      </c>
      <c r="E42" s="18">
        <v>0</v>
      </c>
      <c r="F42" s="29">
        <v>0</v>
      </c>
      <c r="G42" s="30">
        <v>0</v>
      </c>
      <c r="H42" s="30">
        <v>0</v>
      </c>
      <c r="I42" s="17">
        <v>0</v>
      </c>
      <c r="J42" s="18">
        <v>0</v>
      </c>
      <c r="K42" s="20">
        <v>0</v>
      </c>
      <c r="L42" s="18">
        <v>2700</v>
      </c>
      <c r="M42" s="18">
        <v>700</v>
      </c>
      <c r="N42" s="18">
        <v>0</v>
      </c>
      <c r="O42" s="18">
        <v>0</v>
      </c>
      <c r="P42" s="18">
        <v>0</v>
      </c>
    </row>
    <row r="43" spans="1:16" ht="11.25">
      <c r="A43" s="4" t="s">
        <v>36</v>
      </c>
      <c r="B43" s="4"/>
      <c r="C43" s="4">
        <v>357</v>
      </c>
      <c r="D43" s="17">
        <v>357</v>
      </c>
      <c r="E43" s="18">
        <v>357</v>
      </c>
      <c r="F43" s="24">
        <v>357</v>
      </c>
      <c r="G43" s="4">
        <v>357</v>
      </c>
      <c r="H43" s="18">
        <v>357</v>
      </c>
      <c r="I43" s="17">
        <v>357</v>
      </c>
      <c r="J43" s="4">
        <v>357</v>
      </c>
      <c r="K43" s="20">
        <v>357</v>
      </c>
      <c r="L43" s="18">
        <v>327</v>
      </c>
      <c r="M43" s="18">
        <v>297</v>
      </c>
      <c r="N43" s="18">
        <v>267</v>
      </c>
      <c r="O43" s="18">
        <v>207</v>
      </c>
      <c r="P43" s="18">
        <v>614</v>
      </c>
    </row>
    <row r="44" spans="1:16" ht="11.25">
      <c r="A44" s="4" t="s">
        <v>37</v>
      </c>
      <c r="B44" s="4"/>
      <c r="C44" s="30">
        <f aca="true" t="shared" si="12" ref="C44:P44">C42/C12</f>
        <v>0</v>
      </c>
      <c r="D44" s="30">
        <f t="shared" si="12"/>
        <v>0</v>
      </c>
      <c r="E44" s="30">
        <f t="shared" si="12"/>
        <v>0</v>
      </c>
      <c r="F44" s="29">
        <f t="shared" si="12"/>
        <v>0</v>
      </c>
      <c r="G44" s="31">
        <f t="shared" si="12"/>
        <v>0</v>
      </c>
      <c r="H44" s="31">
        <f t="shared" si="12"/>
        <v>0</v>
      </c>
      <c r="I44" s="31">
        <f t="shared" si="12"/>
        <v>0</v>
      </c>
      <c r="J44" s="30">
        <f t="shared" si="12"/>
        <v>0</v>
      </c>
      <c r="K44" s="32">
        <f t="shared" si="12"/>
        <v>0</v>
      </c>
      <c r="L44" s="33">
        <f t="shared" si="12"/>
        <v>0.09583303755235323</v>
      </c>
      <c r="M44" s="33">
        <f t="shared" si="12"/>
        <v>0.024481516455076416</v>
      </c>
      <c r="N44" s="33">
        <f t="shared" si="12"/>
        <v>0</v>
      </c>
      <c r="O44" s="33">
        <f t="shared" si="12"/>
        <v>0</v>
      </c>
      <c r="P44" s="33">
        <f t="shared" si="12"/>
        <v>0</v>
      </c>
    </row>
    <row r="45" spans="1:16" ht="11.25">
      <c r="A45" s="4" t="s">
        <v>38</v>
      </c>
      <c r="B45" s="4"/>
      <c r="C45" s="30">
        <v>-1</v>
      </c>
      <c r="D45" s="30">
        <v>0</v>
      </c>
      <c r="E45" s="30">
        <v>0</v>
      </c>
      <c r="F45" s="29">
        <v>0</v>
      </c>
      <c r="G45" s="30">
        <v>0</v>
      </c>
      <c r="H45" s="30">
        <v>0</v>
      </c>
      <c r="I45" s="30">
        <v>0</v>
      </c>
      <c r="J45" s="30">
        <v>0</v>
      </c>
      <c r="K45" s="32">
        <v>0</v>
      </c>
      <c r="L45" s="33">
        <f>+L43/L42</f>
        <v>0.12111111111111111</v>
      </c>
      <c r="M45" s="33">
        <f>+M43/M42</f>
        <v>0.42428571428571427</v>
      </c>
      <c r="N45" s="33">
        <v>0</v>
      </c>
      <c r="O45" s="33">
        <v>0</v>
      </c>
      <c r="P45" s="33">
        <v>0</v>
      </c>
    </row>
    <row r="46" spans="1:16" ht="11.25">
      <c r="A46" s="3" t="s">
        <v>39</v>
      </c>
      <c r="B46" s="3"/>
      <c r="C46" s="34">
        <f>C43/C12</f>
        <v>0.037241810974337576</v>
      </c>
      <c r="D46" s="34">
        <f>D43/D12</f>
        <v>0.016333440087843713</v>
      </c>
      <c r="E46" s="34">
        <f>+E43/E12</f>
        <v>0.014569049951028404</v>
      </c>
      <c r="F46" s="35">
        <f>+F43/F12</f>
        <v>0.02140159462861939</v>
      </c>
      <c r="G46" s="34">
        <f>+G43/G12</f>
        <v>0.013164202219845865</v>
      </c>
      <c r="H46" s="34">
        <f>H43/H12</f>
        <v>0.0140203432431371</v>
      </c>
      <c r="I46" s="34">
        <f>I43/I12</f>
        <v>0.014349451344507417</v>
      </c>
      <c r="J46" s="34">
        <f>+J43/J12</f>
        <v>0.014031364225916755</v>
      </c>
      <c r="K46" s="36">
        <f>357/K12</f>
        <v>0.01369652791099175</v>
      </c>
      <c r="L46" s="34">
        <f>327/L12</f>
        <v>0.011606445659118336</v>
      </c>
      <c r="M46" s="34">
        <f>297/M12</f>
        <v>0.010387157695939566</v>
      </c>
      <c r="N46" s="34">
        <f>267/N12</f>
        <v>0.009412345330842176</v>
      </c>
      <c r="O46" s="34">
        <f>207/O12</f>
        <v>0.005784384955010339</v>
      </c>
      <c r="P46" s="34">
        <f>614/P12</f>
        <v>0.020193382884956916</v>
      </c>
    </row>
    <row r="47" spans="1:16" ht="11.25">
      <c r="A47" s="11" t="s">
        <v>40</v>
      </c>
      <c r="E47" s="18"/>
      <c r="F47" s="37"/>
      <c r="G47" s="5"/>
      <c r="H47" s="5"/>
      <c r="I47" s="5"/>
      <c r="J47" s="37"/>
      <c r="K47" s="5"/>
      <c r="L47" s="5"/>
      <c r="M47" s="5"/>
      <c r="N47" s="4"/>
      <c r="O47" s="5"/>
      <c r="P47" s="5"/>
    </row>
    <row r="48" spans="1:16" ht="11.25">
      <c r="A48" s="2" t="s">
        <v>41</v>
      </c>
      <c r="C48" s="33">
        <f>+C25/C12</f>
        <v>1.8171291466722304</v>
      </c>
      <c r="D48" s="33">
        <f>+D25/D12</f>
        <v>0.5056046117948483</v>
      </c>
      <c r="E48" s="33">
        <f>+E25/E12</f>
        <v>0.38532484492327784</v>
      </c>
      <c r="F48" s="38">
        <f aca="true" t="shared" si="13" ref="F48:P48">F25/F12</f>
        <v>0.4943948204544092</v>
      </c>
      <c r="G48" s="33">
        <f t="shared" si="13"/>
        <v>0.4132527010582986</v>
      </c>
      <c r="H48" s="33">
        <f t="shared" si="13"/>
        <v>0.41079212975690216</v>
      </c>
      <c r="I48" s="33">
        <f t="shared" si="13"/>
        <v>0.39310261666465696</v>
      </c>
      <c r="J48" s="38">
        <f t="shared" si="13"/>
        <v>0.3364383130920096</v>
      </c>
      <c r="K48" s="33">
        <f t="shared" si="13"/>
        <v>0.4118933435641665</v>
      </c>
      <c r="L48" s="33">
        <f t="shared" si="13"/>
        <v>0.35639241854191805</v>
      </c>
      <c r="M48" s="33">
        <f t="shared" si="13"/>
        <v>0.3218969677893191</v>
      </c>
      <c r="N48" s="33">
        <f t="shared" si="13"/>
        <v>0.2982338632918532</v>
      </c>
      <c r="O48" s="33">
        <f t="shared" si="13"/>
        <v>0.2619460124070866</v>
      </c>
      <c r="P48" s="33">
        <f t="shared" si="13"/>
        <v>0.2764914819443531</v>
      </c>
    </row>
    <row r="49" spans="1:16" ht="11.25">
      <c r="A49" s="3" t="s">
        <v>42</v>
      </c>
      <c r="B49" s="3"/>
      <c r="C49" s="34">
        <f aca="true" t="shared" si="14" ref="C49:P49">C25/(C12+C15)</f>
        <v>0.19741599138663796</v>
      </c>
      <c r="D49" s="34">
        <f t="shared" si="14"/>
        <v>0.09088591354694388</v>
      </c>
      <c r="E49" s="34">
        <f t="shared" si="14"/>
        <v>0.06553667610639125</v>
      </c>
      <c r="F49" s="35">
        <f t="shared" si="14"/>
        <v>0.05559487936578559</v>
      </c>
      <c r="G49" s="34">
        <f t="shared" si="14"/>
        <v>0.08917303882174145</v>
      </c>
      <c r="H49" s="34">
        <f t="shared" si="14"/>
        <v>0.08528054527369675</v>
      </c>
      <c r="I49" s="34">
        <f t="shared" si="14"/>
        <v>0.07979244174662228</v>
      </c>
      <c r="J49" s="35">
        <f t="shared" si="14"/>
        <v>0.0656235386113262</v>
      </c>
      <c r="K49" s="34">
        <f t="shared" si="14"/>
        <v>0.09375354763214656</v>
      </c>
      <c r="L49" s="34">
        <f t="shared" si="14"/>
        <v>0.09908034181287127</v>
      </c>
      <c r="M49" s="34">
        <f t="shared" si="14"/>
        <v>0.06822932882622426</v>
      </c>
      <c r="N49" s="34">
        <f t="shared" si="14"/>
        <v>0.06600917574357854</v>
      </c>
      <c r="O49" s="34">
        <f t="shared" si="14"/>
        <v>0.07802303901984285</v>
      </c>
      <c r="P49" s="34">
        <f t="shared" si="14"/>
        <v>0.1177780891005884</v>
      </c>
    </row>
    <row r="50" spans="1:14" ht="11.25">
      <c r="A50" s="11" t="s">
        <v>43</v>
      </c>
      <c r="C50" s="18"/>
      <c r="D50" s="18"/>
      <c r="E50" s="18"/>
      <c r="F50" s="24"/>
      <c r="K50" s="26"/>
      <c r="L50" s="4"/>
      <c r="M50" s="4"/>
      <c r="N50" s="4"/>
    </row>
    <row r="51" spans="1:16" ht="11.25">
      <c r="A51" s="2" t="s">
        <v>44</v>
      </c>
      <c r="C51" s="33">
        <f aca="true" t="shared" si="15" ref="C51:P51">C11/C16</f>
        <v>0.6408827283966749</v>
      </c>
      <c r="D51" s="33">
        <f t="shared" si="15"/>
        <v>0.4628741938588892</v>
      </c>
      <c r="E51" s="33">
        <f t="shared" si="15"/>
        <v>0.3541474610125221</v>
      </c>
      <c r="F51" s="39">
        <f t="shared" si="15"/>
        <v>0.30763409835425304</v>
      </c>
      <c r="G51" s="40">
        <f t="shared" si="15"/>
        <v>0.3761230816001911</v>
      </c>
      <c r="H51" s="40">
        <f t="shared" si="15"/>
        <v>0.4488188180600824</v>
      </c>
      <c r="I51" s="40">
        <f t="shared" si="15"/>
        <v>0.4462578630674946</v>
      </c>
      <c r="J51" s="41">
        <f t="shared" si="15"/>
        <v>0.3816810752823878</v>
      </c>
      <c r="K51" s="42">
        <f t="shared" si="15"/>
        <v>0.4755923615694122</v>
      </c>
      <c r="L51" s="33">
        <f t="shared" si="15"/>
        <v>0.5276862506547709</v>
      </c>
      <c r="M51" s="33">
        <f t="shared" si="15"/>
        <v>0.31159284026937134</v>
      </c>
      <c r="N51" s="33">
        <f t="shared" si="15"/>
        <v>0.3663067436734466</v>
      </c>
      <c r="O51" s="41">
        <f t="shared" si="15"/>
        <v>0.41339114325253334</v>
      </c>
      <c r="P51" s="41">
        <f t="shared" si="15"/>
        <v>0.6353763699655417</v>
      </c>
    </row>
    <row r="52" spans="1:16" ht="11.25">
      <c r="A52" s="2" t="s">
        <v>45</v>
      </c>
      <c r="C52" s="33">
        <f aca="true" t="shared" si="16" ref="C52:P52">C11/C10</f>
        <v>0.584721553522709</v>
      </c>
      <c r="D52" s="33">
        <f t="shared" si="16"/>
        <v>0.4351382655277255</v>
      </c>
      <c r="E52" s="33">
        <f t="shared" si="16"/>
        <v>0.3339899113393286</v>
      </c>
      <c r="F52" s="39">
        <f t="shared" si="16"/>
        <v>0.2921231114428368</v>
      </c>
      <c r="G52" s="40">
        <f t="shared" si="16"/>
        <v>0.3506189208611249</v>
      </c>
      <c r="H52" s="40">
        <f t="shared" si="16"/>
        <v>0.41191993395850146</v>
      </c>
      <c r="I52" s="40">
        <f t="shared" si="16"/>
        <v>0.410012600607247</v>
      </c>
      <c r="J52" s="41">
        <f t="shared" si="16"/>
        <v>0.3491869527566631</v>
      </c>
      <c r="K52" s="42">
        <f t="shared" si="16"/>
        <v>0.4301489347363557</v>
      </c>
      <c r="L52" s="33">
        <f t="shared" si="16"/>
        <v>0.472457979697121</v>
      </c>
      <c r="M52" s="33">
        <f t="shared" si="16"/>
        <v>0.2753058088097859</v>
      </c>
      <c r="N52" s="33">
        <f t="shared" si="16"/>
        <v>0.33154707489658725</v>
      </c>
      <c r="O52" s="41">
        <f t="shared" si="16"/>
        <v>0.3726996488474348</v>
      </c>
      <c r="P52" s="41">
        <f t="shared" si="16"/>
        <v>0.5911295343578988</v>
      </c>
    </row>
    <row r="53" spans="1:16" ht="11.25">
      <c r="A53" s="3" t="s">
        <v>46</v>
      </c>
      <c r="B53" s="3"/>
      <c r="C53" s="34">
        <f aca="true" t="shared" si="17" ref="C53:P53">(C11+C15)/C16</f>
        <v>1.0361554776000885</v>
      </c>
      <c r="D53" s="34">
        <f t="shared" si="17"/>
        <v>0.9428770815285398</v>
      </c>
      <c r="E53" s="34">
        <f t="shared" si="17"/>
        <v>0.9282428747023124</v>
      </c>
      <c r="F53" s="43">
        <f t="shared" si="17"/>
        <v>0.9504078972421167</v>
      </c>
      <c r="G53" s="44">
        <f t="shared" si="17"/>
        <v>0.9111740851126203</v>
      </c>
      <c r="H53" s="44">
        <f t="shared" si="17"/>
        <v>0.9399428990121024</v>
      </c>
      <c r="I53" s="44">
        <f t="shared" si="17"/>
        <v>0.9406328915339497</v>
      </c>
      <c r="J53" s="34">
        <f t="shared" si="17"/>
        <v>0.9338255400601586</v>
      </c>
      <c r="K53" s="36">
        <f t="shared" si="17"/>
        <v>0.946330870925851</v>
      </c>
      <c r="L53" s="34">
        <f t="shared" si="17"/>
        <v>0.9398004990340368</v>
      </c>
      <c r="M53" s="34">
        <f t="shared" si="17"/>
        <v>0.9362769870838084</v>
      </c>
      <c r="N53" s="34">
        <f t="shared" si="17"/>
        <v>0.9231941073072738</v>
      </c>
      <c r="O53" s="34">
        <f t="shared" si="17"/>
        <v>0.8841178965224766</v>
      </c>
      <c r="P53" s="34">
        <f t="shared" si="17"/>
        <v>0.8759032820470676</v>
      </c>
    </row>
    <row r="54" spans="1:14" ht="11.25">
      <c r="A54" s="11" t="s">
        <v>47</v>
      </c>
      <c r="D54" s="18"/>
      <c r="E54" s="18"/>
      <c r="F54" s="24"/>
      <c r="K54" s="26"/>
      <c r="L54" s="4"/>
      <c r="M54" s="4"/>
      <c r="N54" s="4"/>
    </row>
    <row r="55" spans="1:16" ht="11.25">
      <c r="A55" s="2" t="s">
        <v>48</v>
      </c>
      <c r="B55" s="4"/>
      <c r="C55" s="45">
        <f>C40/C28</f>
        <v>0.048085193911515015</v>
      </c>
      <c r="D55" s="33">
        <f>(D40/0.75)/D28</f>
        <v>0.03776520393373894</v>
      </c>
      <c r="E55" s="33">
        <f>(E40/0.5)/E28</f>
        <v>0.0280978097809781</v>
      </c>
      <c r="F55" s="38">
        <f>((F40)/0.25)/F28</f>
        <v>0.021952636827341793</v>
      </c>
      <c r="G55" s="45">
        <f>G40/G28</f>
        <v>0.025180065781256505</v>
      </c>
      <c r="H55" s="45">
        <f>(H40/0.75)/H28</f>
        <v>0.02771478062108252</v>
      </c>
      <c r="I55" s="41">
        <f>(I40/0.5)/I28</f>
        <v>0.024360498085184062</v>
      </c>
      <c r="J55" s="41">
        <f>((J40)/0.25)/J28</f>
        <v>0.024407880744765183</v>
      </c>
      <c r="K55" s="46">
        <f>K40/K28</f>
        <v>0.025270927353541552</v>
      </c>
      <c r="L55" s="45">
        <f>(L40/0.75)/L28</f>
        <v>0.033087668818611644</v>
      </c>
      <c r="M55" s="45">
        <f>(M40/0.5)/M28</f>
        <v>0.026545660805445265</v>
      </c>
      <c r="N55" s="33">
        <f>((N40)/0.25)/N28</f>
        <v>0.025440322170018747</v>
      </c>
      <c r="O55" s="41">
        <f>O40/O28</f>
        <v>0.01587268436331739</v>
      </c>
      <c r="P55" s="41">
        <f>P40/P28</f>
        <v>0.007521820375144878</v>
      </c>
    </row>
    <row r="56" spans="1:16" ht="11.25">
      <c r="A56" s="2" t="s">
        <v>49</v>
      </c>
      <c r="B56" s="4"/>
      <c r="C56" s="45">
        <f>C40/C27</f>
        <v>0.0247445794552151</v>
      </c>
      <c r="D56" s="33">
        <f>(D40/0.75)/D27</f>
        <v>0.021124663915391414</v>
      </c>
      <c r="E56" s="33">
        <f>(E40/0.5)/E27</f>
        <v>0.01718699459293296</v>
      </c>
      <c r="F56" s="38">
        <f>((F40)/0.25)/F27</f>
        <v>0.014448717676306228</v>
      </c>
      <c r="G56" s="45">
        <f>G40/G27</f>
        <v>0.014920659982632036</v>
      </c>
      <c r="H56" s="45">
        <f>(H40/0.75)/H27</f>
        <v>0.014998103493678715</v>
      </c>
      <c r="I56" s="41">
        <f>(I40/0.5)/I27</f>
        <v>0.015384879548069164</v>
      </c>
      <c r="J56" s="41">
        <f>((J40)/0.25)/J27</f>
        <v>0.015552429081465457</v>
      </c>
      <c r="K56" s="46">
        <f>K40/K27</f>
        <v>0.014587371714766454</v>
      </c>
      <c r="L56" s="45">
        <f>(L40/0.75)/L27</f>
        <v>0.016502479430184375</v>
      </c>
      <c r="M56" s="45">
        <f>(M40/0.5)/M27</f>
        <v>0.016074146094014204</v>
      </c>
      <c r="N56" s="33">
        <f>((N40)/0.25)/N27</f>
        <v>0.014595632464128365</v>
      </c>
      <c r="O56" s="41">
        <f>O40/O27</f>
        <v>0.007960699284584524</v>
      </c>
      <c r="P56" s="41">
        <f>P40/P27</f>
        <v>0.0038148479159293893</v>
      </c>
    </row>
    <row r="57" spans="1:16" ht="11.25">
      <c r="A57" s="2" t="s">
        <v>50</v>
      </c>
      <c r="B57" s="4"/>
      <c r="C57" s="45">
        <f>+C40/C31</f>
        <v>0.3593236917487599</v>
      </c>
      <c r="D57" s="33">
        <f>(D40/0.75)/D31</f>
        <v>0.42880386778857327</v>
      </c>
      <c r="E57" s="33">
        <f>(E40/0.5)/E31</f>
        <v>0.3897617313494954</v>
      </c>
      <c r="F57" s="38">
        <f>((F40)/0.25)/F31</f>
        <v>0.36413399178913547</v>
      </c>
      <c r="G57" s="45">
        <f>+G40/G31</f>
        <v>0.27562320557808867</v>
      </c>
      <c r="H57" s="45">
        <f>(H40/0.75)/H31</f>
        <v>0.302814496853812</v>
      </c>
      <c r="I57" s="41">
        <f>(I40/0.5)/I31</f>
        <v>0.3303834808259587</v>
      </c>
      <c r="J57" s="41">
        <f>((J40)/0.25)/J31</f>
        <v>0.37085781433607523</v>
      </c>
      <c r="K57" s="46">
        <f>+K40/K31</f>
        <v>0.29487817006464445</v>
      </c>
      <c r="L57" s="45">
        <f>(L40/0.75)/L31</f>
        <v>0.3382714738313953</v>
      </c>
      <c r="M57" s="45">
        <f>(M40/0.5)/M31</f>
        <v>0.3530435791794812</v>
      </c>
      <c r="N57" s="33">
        <f>((N40)/0.25)/N31</f>
        <v>0.33331311783613315</v>
      </c>
      <c r="O57" s="41">
        <f>O40/O31</f>
        <v>0.17096901186659919</v>
      </c>
      <c r="P57" s="41">
        <f>P40/P31</f>
        <v>0.0719253604749788</v>
      </c>
    </row>
    <row r="58" spans="1:16" ht="11.25">
      <c r="A58" s="2" t="s">
        <v>51</v>
      </c>
      <c r="B58" s="4"/>
      <c r="C58" s="45">
        <f>C33/C28</f>
        <v>0.12408841018736677</v>
      </c>
      <c r="D58" s="33">
        <f>(D33/0.75)/D28</f>
        <v>0.10936514825217199</v>
      </c>
      <c r="E58" s="33">
        <f>(E33/0.5)/E28</f>
        <v>0.09170417041704171</v>
      </c>
      <c r="F58" s="38">
        <f>((F33)/0.25)/F28</f>
        <v>0.07897210006384918</v>
      </c>
      <c r="G58" s="45">
        <f>G33/G28</f>
        <v>0.11153670011241101</v>
      </c>
      <c r="H58" s="45">
        <f>(H33/0.75)/H28</f>
        <v>0.12537128639201892</v>
      </c>
      <c r="I58" s="41">
        <f>(I33/0.5)/I28</f>
        <v>0.11227890284542424</v>
      </c>
      <c r="J58" s="41">
        <f>((J33)/0.25)/J28</f>
        <v>0.11303725759362734</v>
      </c>
      <c r="K58" s="46">
        <f>K33/K28</f>
        <v>0.1274455907984846</v>
      </c>
      <c r="L58" s="45">
        <f>(L33/0.75)/L28</f>
        <v>0.15701753930372547</v>
      </c>
      <c r="M58" s="45">
        <f>(M33/0.5)/M28</f>
        <v>0.13237924865831843</v>
      </c>
      <c r="N58" s="33">
        <f>((N33)/0.25)/N28</f>
        <v>0.1384960770245562</v>
      </c>
      <c r="O58" s="41">
        <f>O33/O28</f>
        <v>0.126114742799858</v>
      </c>
      <c r="P58" s="41">
        <f>P33/P27</f>
        <v>0.06692778780808196</v>
      </c>
    </row>
    <row r="59" spans="1:16" ht="11.25">
      <c r="A59" s="2" t="s">
        <v>52</v>
      </c>
      <c r="B59" s="4"/>
      <c r="C59" s="45">
        <f>C34/C28</f>
        <v>0.07475971427502899</v>
      </c>
      <c r="D59" s="33">
        <f>(D34/0.75)/D28</f>
        <v>0.06716725487145474</v>
      </c>
      <c r="E59" s="33">
        <f>(E34/0.5)/E28</f>
        <v>0.06152115211521152</v>
      </c>
      <c r="F59" s="38">
        <f>((F34)/0.25)/F28</f>
        <v>0.05899950498956174</v>
      </c>
      <c r="G59" s="45">
        <f>G34/G28</f>
        <v>0.0939922561305633</v>
      </c>
      <c r="H59" s="45">
        <f>(H34/0.75)/H28</f>
        <v>0.10620427745733554</v>
      </c>
      <c r="I59" s="41">
        <f>(I34/0.5)/I28</f>
        <v>0.09588838914652809</v>
      </c>
      <c r="J59" s="41">
        <f>((J34)/0.25)/J28</f>
        <v>0.09825022718044894</v>
      </c>
      <c r="K59" s="46">
        <f>K34/K28</f>
        <v>0.10283094047908224</v>
      </c>
      <c r="L59" s="45">
        <f>(L34/0.75)/L28</f>
        <v>0.12283571986281568</v>
      </c>
      <c r="M59" s="45">
        <f>(M34/0.5)/M28</f>
        <v>0.10265718399581134</v>
      </c>
      <c r="N59" s="33">
        <f>((N34)/0.25)/N28</f>
        <v>0.10613095100330965</v>
      </c>
      <c r="O59" s="41">
        <f>O34/O28</f>
        <v>0.10882187088824377</v>
      </c>
      <c r="P59" s="41">
        <f>P34/P27</f>
        <v>0.061001577523587876</v>
      </c>
    </row>
    <row r="60" spans="1:16" ht="11.25">
      <c r="A60" s="2" t="s">
        <v>53</v>
      </c>
      <c r="B60" s="4"/>
      <c r="C60" s="45">
        <f>C35/C28</f>
        <v>0.04932869591233778</v>
      </c>
      <c r="D60" s="33">
        <f>(D35/0.75)/D28</f>
        <v>0.04219789338071725</v>
      </c>
      <c r="E60" s="33">
        <f>(E35/0.5)/E28</f>
        <v>0.03018301830183018</v>
      </c>
      <c r="F60" s="38">
        <f>((F35)/0.25)/F28</f>
        <v>0.019972595074287437</v>
      </c>
      <c r="G60" s="45">
        <f>G35/G28</f>
        <v>0.017544443981847704</v>
      </c>
      <c r="H60" s="45">
        <f>(H35/0.75)/H28</f>
        <v>0.019167008934683358</v>
      </c>
      <c r="I60" s="41">
        <f>(I35/0.5)/I28</f>
        <v>0.016390513698896166</v>
      </c>
      <c r="J60" s="41">
        <f>((J35)/0.25)/J28</f>
        <v>0.014787030413178399</v>
      </c>
      <c r="K60" s="46">
        <f>K35/K28</f>
        <v>0.02461465031940236</v>
      </c>
      <c r="L60" s="45">
        <f>(L35/0.75)/L28</f>
        <v>0.034181819440909804</v>
      </c>
      <c r="M60" s="45">
        <f>(M35/0.5)/M28</f>
        <v>0.02972206466250709</v>
      </c>
      <c r="N60" s="33">
        <f>((N35)/0.25)/N28</f>
        <v>0.032365126021246554</v>
      </c>
      <c r="O60" s="41">
        <f>O35/O28</f>
        <v>0.01729287191161421</v>
      </c>
      <c r="P60" s="41">
        <f>P35/P27</f>
        <v>0.005926210284494083</v>
      </c>
    </row>
    <row r="61" spans="1:16" ht="11.25">
      <c r="A61" s="2" t="s">
        <v>54</v>
      </c>
      <c r="B61" s="4"/>
      <c r="C61" s="45">
        <f>C38/C37</f>
        <v>0.25679190751445086</v>
      </c>
      <c r="D61" s="33">
        <f>(D38/0.75)/(D37/0.75)</f>
        <v>0.281678437889489</v>
      </c>
      <c r="E61" s="33">
        <f>(E38/0.5)/(E37/0.5)</f>
        <v>0.3383963263864359</v>
      </c>
      <c r="F61" s="38">
        <f>(F38/0.25)/(F37/0.25)</f>
        <v>0.3909235668789809</v>
      </c>
      <c r="G61" s="45">
        <f>G38/G37</f>
        <v>0.35009671179883944</v>
      </c>
      <c r="H61" s="45">
        <f>(H38/0.75)/(H37/0.75)</f>
        <v>0.34459459459459457</v>
      </c>
      <c r="I61" s="41">
        <f>(I38/0.5)/(I37/0.5)</f>
        <v>0.3482959268495428</v>
      </c>
      <c r="J61" s="41">
        <f>(J38/0.25)/(J37/0.25)</f>
        <v>0.34522821576763485</v>
      </c>
      <c r="K61" s="46">
        <f>K38/K37</f>
        <v>0.44925742574257427</v>
      </c>
      <c r="L61" s="45">
        <f>(L38/0.75)/(L37/0.75)</f>
        <v>0.4725104879664385</v>
      </c>
      <c r="M61" s="45">
        <f>(M38/0.5)/(M37/0.5)</f>
        <v>0.4991768192295028</v>
      </c>
      <c r="N61" s="33">
        <f>(N38/0.25)/(N37/0.25)</f>
        <v>0.4945872801082544</v>
      </c>
      <c r="O61" s="41">
        <f>O38/O37</f>
        <v>0.5114213197969543</v>
      </c>
      <c r="P61" s="41">
        <f>P38/P37</f>
        <v>0.363953488372093</v>
      </c>
    </row>
    <row r="62" spans="1:16" ht="11.25">
      <c r="A62" s="3" t="s">
        <v>55</v>
      </c>
      <c r="B62" s="3"/>
      <c r="C62" s="47">
        <f>C36/C28</f>
        <v>0.015370806686861888</v>
      </c>
      <c r="D62" s="34">
        <f>(D36/0.75)/D28</f>
        <v>0.01036113863345425</v>
      </c>
      <c r="E62" s="34">
        <f>(E36/0.5)/E28</f>
        <v>0.012286228622862286</v>
      </c>
      <c r="F62" s="35">
        <f>(F36/0.25)/F28</f>
        <v>0.016069904082760007</v>
      </c>
      <c r="G62" s="47">
        <f>G36/G28</f>
        <v>0.021199883425621385</v>
      </c>
      <c r="H62" s="47">
        <f>(H36/0.75)/H28</f>
        <v>0.02311946046655595</v>
      </c>
      <c r="I62" s="34">
        <f>(I36/0.5)/I28</f>
        <v>0.02098917915375234</v>
      </c>
      <c r="J62" s="34">
        <f>(J36/0.25)/J28</f>
        <v>0.02248989772046171</v>
      </c>
      <c r="K62" s="48">
        <f>K36/K28</f>
        <v>0.023591880915549077</v>
      </c>
      <c r="L62" s="47">
        <f>(L36/0.75)/L28</f>
        <v>0.02854486623489267</v>
      </c>
      <c r="M62" s="47">
        <f>(M36/0.5)/M28</f>
        <v>0.023281993106156463</v>
      </c>
      <c r="N62" s="34">
        <f>(N36/0.25)/N28</f>
        <v>0.022366746129099453</v>
      </c>
      <c r="O62" s="34">
        <f>O36/O28</f>
        <v>0.015622063031265012</v>
      </c>
      <c r="P62" s="34">
        <f>P36/P27</f>
        <v>0.01470755831738815</v>
      </c>
    </row>
    <row r="63" spans="1:14" ht="11.25">
      <c r="A63" s="11" t="s">
        <v>56</v>
      </c>
      <c r="E63" s="18"/>
      <c r="F63" s="24"/>
      <c r="K63" s="26"/>
      <c r="L63" s="4"/>
      <c r="M63" s="4"/>
      <c r="N63" s="4"/>
    </row>
    <row r="64" spans="1:16" ht="11.25">
      <c r="A64" s="2" t="s">
        <v>57</v>
      </c>
      <c r="C64" s="2">
        <v>24</v>
      </c>
      <c r="D64" s="17">
        <v>23</v>
      </c>
      <c r="E64" s="18">
        <v>24</v>
      </c>
      <c r="F64" s="24">
        <v>24</v>
      </c>
      <c r="G64" s="17">
        <v>23</v>
      </c>
      <c r="H64" s="17">
        <v>23</v>
      </c>
      <c r="I64" s="17">
        <v>23</v>
      </c>
      <c r="J64" s="2">
        <v>23</v>
      </c>
      <c r="K64" s="20">
        <f>19+3</f>
        <v>22</v>
      </c>
      <c r="L64" s="18">
        <f>19+3</f>
        <v>22</v>
      </c>
      <c r="M64" s="18">
        <f>20+3</f>
        <v>23</v>
      </c>
      <c r="N64" s="18">
        <v>23</v>
      </c>
      <c r="O64" s="17">
        <v>24</v>
      </c>
      <c r="P64" s="17">
        <v>22</v>
      </c>
    </row>
    <row r="65" spans="1:16" ht="11.25">
      <c r="A65" s="2" t="s">
        <v>58</v>
      </c>
      <c r="C65" s="2">
        <v>1</v>
      </c>
      <c r="D65" s="17">
        <v>1</v>
      </c>
      <c r="E65" s="18">
        <v>1</v>
      </c>
      <c r="F65" s="24">
        <v>1</v>
      </c>
      <c r="G65" s="17">
        <v>1</v>
      </c>
      <c r="H65" s="17">
        <v>1</v>
      </c>
      <c r="I65" s="17">
        <v>1</v>
      </c>
      <c r="J65" s="2">
        <v>1</v>
      </c>
      <c r="K65" s="20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18" ref="C66:P66">C12/C64</f>
        <v>399.4166666666667</v>
      </c>
      <c r="D66" s="18">
        <f t="shared" si="18"/>
        <v>950.304347826087</v>
      </c>
      <c r="E66" s="18">
        <f t="shared" si="18"/>
        <v>1021</v>
      </c>
      <c r="F66" s="19">
        <f t="shared" si="18"/>
        <v>695.0416666666666</v>
      </c>
      <c r="G66" s="17">
        <f t="shared" si="18"/>
        <v>1179.0869565217392</v>
      </c>
      <c r="H66" s="17">
        <f t="shared" si="18"/>
        <v>1107.0869565217392</v>
      </c>
      <c r="I66" s="17">
        <f t="shared" si="18"/>
        <v>1081.695652173913</v>
      </c>
      <c r="J66" s="17">
        <f t="shared" si="18"/>
        <v>1106.2173913043478</v>
      </c>
      <c r="K66" s="20">
        <f t="shared" si="18"/>
        <v>1184.7727272727273</v>
      </c>
      <c r="L66" s="18">
        <f t="shared" si="18"/>
        <v>1280.6363636363637</v>
      </c>
      <c r="M66" s="18">
        <f t="shared" si="18"/>
        <v>1243.1739130434783</v>
      </c>
      <c r="N66" s="18">
        <f t="shared" si="18"/>
        <v>1233.3478260869565</v>
      </c>
      <c r="O66" s="17">
        <f t="shared" si="18"/>
        <v>1491.0833333333333</v>
      </c>
      <c r="P66" s="17">
        <f t="shared" si="18"/>
        <v>1382.090909090909</v>
      </c>
    </row>
    <row r="67" spans="1:16" ht="11.25">
      <c r="A67" s="2" t="s">
        <v>60</v>
      </c>
      <c r="C67" s="18">
        <f aca="true" t="shared" si="19" ref="C67:P67">+C16/C64</f>
        <v>8290.583333333334</v>
      </c>
      <c r="D67" s="18">
        <f t="shared" si="19"/>
        <v>9033.91304347826</v>
      </c>
      <c r="E67" s="18">
        <f t="shared" si="19"/>
        <v>8678</v>
      </c>
      <c r="F67" s="19">
        <f t="shared" si="19"/>
        <v>8534.625</v>
      </c>
      <c r="G67" s="17">
        <f t="shared" si="19"/>
        <v>8008.826086956522</v>
      </c>
      <c r="H67" s="17">
        <f t="shared" si="19"/>
        <v>8604.130434782608</v>
      </c>
      <c r="I67" s="17">
        <f t="shared" si="19"/>
        <v>8591.347826086956</v>
      </c>
      <c r="J67" s="17">
        <f t="shared" si="19"/>
        <v>8268</v>
      </c>
      <c r="K67" s="20">
        <f t="shared" si="19"/>
        <v>8540.545454545454</v>
      </c>
      <c r="L67" s="18">
        <f t="shared" si="19"/>
        <v>8070.136363636364</v>
      </c>
      <c r="M67" s="18">
        <f t="shared" si="19"/>
        <v>7398.869565217391</v>
      </c>
      <c r="N67" s="18">
        <f t="shared" si="19"/>
        <v>7791.521739130435</v>
      </c>
      <c r="O67" s="17">
        <f t="shared" si="19"/>
        <v>7467</v>
      </c>
      <c r="P67" s="17">
        <f t="shared" si="19"/>
        <v>7743.227272727273</v>
      </c>
    </row>
    <row r="68" spans="1:16" ht="11.25">
      <c r="A68" s="3" t="s">
        <v>61</v>
      </c>
      <c r="B68" s="3"/>
      <c r="C68" s="21">
        <f aca="true" t="shared" si="20" ref="C68:P68">+C40/C64</f>
        <v>214.29166666666666</v>
      </c>
      <c r="D68" s="21">
        <f t="shared" si="20"/>
        <v>150.3913043478261</v>
      </c>
      <c r="E68" s="21">
        <f t="shared" si="20"/>
        <v>78.04166666666667</v>
      </c>
      <c r="F68" s="22">
        <f t="shared" si="20"/>
        <v>31.875</v>
      </c>
      <c r="G68" s="21">
        <f t="shared" si="20"/>
        <v>131.47826086956522</v>
      </c>
      <c r="H68" s="21">
        <f t="shared" si="20"/>
        <v>101.21739130434783</v>
      </c>
      <c r="I68" s="21">
        <f t="shared" si="20"/>
        <v>68.17391304347827</v>
      </c>
      <c r="J68" s="21">
        <f t="shared" si="20"/>
        <v>34.30434782608695</v>
      </c>
      <c r="K68" s="23">
        <f t="shared" si="20"/>
        <v>134.77272727272728</v>
      </c>
      <c r="L68" s="21">
        <f t="shared" si="20"/>
        <v>108.5909090909091</v>
      </c>
      <c r="M68" s="21">
        <f t="shared" si="20"/>
        <v>66.1304347826087</v>
      </c>
      <c r="N68" s="21">
        <f t="shared" si="20"/>
        <v>29.869565217391305</v>
      </c>
      <c r="O68" s="21">
        <f t="shared" si="20"/>
        <v>63.333333333333336</v>
      </c>
      <c r="P68" s="21">
        <f t="shared" si="20"/>
        <v>28.90909090909091</v>
      </c>
    </row>
    <row r="69" spans="1:16" ht="11.25">
      <c r="A69" s="11" t="s">
        <v>62</v>
      </c>
      <c r="E69" s="18"/>
      <c r="F69" s="37"/>
      <c r="K69" s="32"/>
      <c r="L69" s="30"/>
      <c r="M69" s="30"/>
      <c r="N69" s="30"/>
      <c r="O69" s="31"/>
      <c r="P69" s="31"/>
    </row>
    <row r="70" spans="1:16" ht="11.25">
      <c r="A70" s="2" t="s">
        <v>63</v>
      </c>
      <c r="C70" s="33">
        <f aca="true" t="shared" si="21" ref="C70:I70">(C10/G10)-1</f>
        <v>0.10365785771399083</v>
      </c>
      <c r="D70" s="33">
        <f t="shared" si="21"/>
        <v>0.025053102188088427</v>
      </c>
      <c r="E70" s="33">
        <f t="shared" si="21"/>
        <v>0.026842548205459726</v>
      </c>
      <c r="F70" s="38">
        <f t="shared" si="21"/>
        <v>0.03775137111517357</v>
      </c>
      <c r="G70" s="41">
        <f t="shared" si="21"/>
        <v>-0.04881054384765715</v>
      </c>
      <c r="H70" s="41">
        <f t="shared" si="21"/>
        <v>0.08736894658012972</v>
      </c>
      <c r="I70" s="41">
        <f t="shared" si="21"/>
        <v>0.11663828373242513</v>
      </c>
      <c r="J70" s="41">
        <f>+(J10/N10)-1</f>
        <v>0.04983509518013274</v>
      </c>
      <c r="K70" s="42">
        <f>+(K10/O10)-1</f>
        <v>0.045116564540634174</v>
      </c>
      <c r="L70" s="33">
        <f>+(L10/187746)-1</f>
        <v>0.05619826787255122</v>
      </c>
      <c r="M70" s="33">
        <f>+(M10/185892)-1</f>
        <v>0.03610698685258096</v>
      </c>
      <c r="N70" s="33">
        <f>+(N10/178558)-1</f>
        <v>0.1088441850827182</v>
      </c>
      <c r="O70" s="41">
        <f>+(O10/P10)-1</f>
        <v>0.08559163744797971</v>
      </c>
      <c r="P70" s="41">
        <f>(P10/150332)-1</f>
        <v>0.21798419498177357</v>
      </c>
    </row>
    <row r="71" spans="1:16" ht="11.25">
      <c r="A71" s="2" t="s">
        <v>64</v>
      </c>
      <c r="C71" s="33">
        <f aca="true" t="shared" si="22" ref="C71:I71">(C12/G12)-1</f>
        <v>-0.6465208894133265</v>
      </c>
      <c r="D71" s="33">
        <f t="shared" si="22"/>
        <v>-0.1416172485567294</v>
      </c>
      <c r="E71" s="33">
        <f t="shared" si="22"/>
        <v>-0.015072953092969965</v>
      </c>
      <c r="F71" s="38">
        <f t="shared" si="22"/>
        <v>-0.34437762842432107</v>
      </c>
      <c r="G71" s="41">
        <f t="shared" si="22"/>
        <v>0.04043736811816623</v>
      </c>
      <c r="H71" s="41">
        <f t="shared" si="22"/>
        <v>-0.09622346844608509</v>
      </c>
      <c r="I71" s="41">
        <f t="shared" si="22"/>
        <v>-0.12989193159164836</v>
      </c>
      <c r="J71" s="41">
        <f aca="true" t="shared" si="23" ref="J71:P71">SUM(J72:J73)</f>
        <v>-0.10307751965311807</v>
      </c>
      <c r="K71" s="42">
        <f t="shared" si="23"/>
        <v>-0.2716425417761136</v>
      </c>
      <c r="L71" s="33">
        <f t="shared" si="23"/>
        <v>-0.33879371039662054</v>
      </c>
      <c r="M71" s="33">
        <f t="shared" si="23"/>
        <v>-0.3141520748380907</v>
      </c>
      <c r="N71" s="33">
        <f t="shared" si="23"/>
        <v>-0.19571874113977883</v>
      </c>
      <c r="O71" s="41">
        <f t="shared" si="23"/>
        <v>0.17693876208643022</v>
      </c>
      <c r="P71" s="41">
        <f t="shared" si="23"/>
        <v>-0.16748350354571095</v>
      </c>
    </row>
    <row r="72" spans="2:16" ht="11.25">
      <c r="B72" s="2" t="s">
        <v>15</v>
      </c>
      <c r="C72" s="33">
        <v>0</v>
      </c>
      <c r="D72" s="33">
        <v>0</v>
      </c>
      <c r="E72" s="33">
        <v>0</v>
      </c>
      <c r="F72" s="38">
        <v>0</v>
      </c>
      <c r="G72" s="41">
        <v>0</v>
      </c>
      <c r="H72" s="41">
        <v>0</v>
      </c>
      <c r="I72" s="41">
        <v>0</v>
      </c>
      <c r="J72" s="41">
        <v>0</v>
      </c>
      <c r="K72" s="42">
        <v>0</v>
      </c>
      <c r="L72" s="33">
        <v>0</v>
      </c>
      <c r="M72" s="33">
        <v>0</v>
      </c>
      <c r="N72" s="33">
        <v>0</v>
      </c>
      <c r="O72" s="41">
        <v>0</v>
      </c>
      <c r="P72" s="41">
        <v>0</v>
      </c>
    </row>
    <row r="73" spans="2:16" ht="11.25">
      <c r="B73" s="2" t="s">
        <v>16</v>
      </c>
      <c r="C73" s="33">
        <f aca="true" t="shared" si="24" ref="C73:I73">(C14/G14)-1</f>
        <v>-0.6465208894133265</v>
      </c>
      <c r="D73" s="33">
        <f t="shared" si="24"/>
        <v>-0.1416172485567294</v>
      </c>
      <c r="E73" s="33">
        <f t="shared" si="24"/>
        <v>-0.015072953092969965</v>
      </c>
      <c r="F73" s="38">
        <f t="shared" si="24"/>
        <v>-0.34437762842432107</v>
      </c>
      <c r="G73" s="41">
        <f t="shared" si="24"/>
        <v>0.04043736811816623</v>
      </c>
      <c r="H73" s="41">
        <f t="shared" si="24"/>
        <v>-0.09622346844608509</v>
      </c>
      <c r="I73" s="41">
        <f t="shared" si="24"/>
        <v>-0.12989193159164836</v>
      </c>
      <c r="J73" s="41">
        <f>+(J14/N14)-1</f>
        <v>-0.10307751965311807</v>
      </c>
      <c r="K73" s="42">
        <f>+(K14/O14)-1</f>
        <v>-0.2716425417761136</v>
      </c>
      <c r="L73" s="33">
        <f>+(L14/42610)-1</f>
        <v>-0.33879371039662054</v>
      </c>
      <c r="M73" s="33">
        <f>+(M14/41690)-1</f>
        <v>-0.3141520748380907</v>
      </c>
      <c r="N73" s="33">
        <f>+(N14/35270)-1</f>
        <v>-0.19571874113977883</v>
      </c>
      <c r="O73" s="41">
        <f>+(O14/P14)-1</f>
        <v>0.17693876208643022</v>
      </c>
      <c r="P73" s="41">
        <f>+(P14/36523)-1</f>
        <v>-0.16748350354571095</v>
      </c>
    </row>
    <row r="74" spans="1:16" ht="11.25">
      <c r="A74" s="2" t="s">
        <v>65</v>
      </c>
      <c r="C74" s="33">
        <f aca="true" t="shared" si="25" ref="C74:I74">(C16/G16)-1</f>
        <v>0.08018870485279828</v>
      </c>
      <c r="D74" s="33">
        <f t="shared" si="25"/>
        <v>0.04995073144849549</v>
      </c>
      <c r="E74" s="33">
        <f t="shared" si="25"/>
        <v>0.05400276314391128</v>
      </c>
      <c r="F74" s="38">
        <f t="shared" si="25"/>
        <v>0.07712816305925418</v>
      </c>
      <c r="G74" s="41">
        <f t="shared" si="25"/>
        <v>-0.019633619313222495</v>
      </c>
      <c r="H74" s="41">
        <f t="shared" si="25"/>
        <v>0.11463138507291193</v>
      </c>
      <c r="I74" s="41">
        <f t="shared" si="25"/>
        <v>0.16117033154300886</v>
      </c>
      <c r="J74" s="41">
        <f aca="true" t="shared" si="26" ref="J74:P74">SUM(J75:J76)</f>
        <v>0.06115342763873777</v>
      </c>
      <c r="K74" s="42">
        <f t="shared" si="26"/>
        <v>0.048457658140261595</v>
      </c>
      <c r="L74" s="33">
        <f t="shared" si="26"/>
        <v>0.036807988787666446</v>
      </c>
      <c r="M74" s="33">
        <f t="shared" si="26"/>
        <v>0.005631688738395368</v>
      </c>
      <c r="N74" s="33">
        <f t="shared" si="26"/>
        <v>0.08695388459928788</v>
      </c>
      <c r="O74" s="41">
        <f t="shared" si="26"/>
        <v>0.05199265046873802</v>
      </c>
      <c r="P74" s="41">
        <f t="shared" si="26"/>
        <v>0.23166966719447046</v>
      </c>
    </row>
    <row r="75" spans="2:16" ht="11.25">
      <c r="B75" s="2" t="s">
        <v>15</v>
      </c>
      <c r="C75" s="33">
        <v>0</v>
      </c>
      <c r="D75" s="33">
        <v>0</v>
      </c>
      <c r="E75" s="33">
        <v>0</v>
      </c>
      <c r="F75" s="38">
        <v>0</v>
      </c>
      <c r="G75" s="41">
        <v>0</v>
      </c>
      <c r="H75" s="41">
        <v>0</v>
      </c>
      <c r="I75" s="41">
        <v>0</v>
      </c>
      <c r="J75" s="41">
        <v>0</v>
      </c>
      <c r="K75" s="42">
        <v>0</v>
      </c>
      <c r="L75" s="33">
        <v>0</v>
      </c>
      <c r="M75" s="33">
        <v>0</v>
      </c>
      <c r="N75" s="33">
        <v>0</v>
      </c>
      <c r="O75" s="41">
        <v>0</v>
      </c>
      <c r="P75" s="41">
        <v>0</v>
      </c>
    </row>
    <row r="76" spans="2:16" ht="11.25">
      <c r="B76" s="2" t="s">
        <v>16</v>
      </c>
      <c r="C76" s="33">
        <f aca="true" t="shared" si="27" ref="C76:I76">(C21/G21)-1</f>
        <v>0.08018870485279828</v>
      </c>
      <c r="D76" s="33">
        <f t="shared" si="27"/>
        <v>0.04995073144849549</v>
      </c>
      <c r="E76" s="33">
        <f t="shared" si="27"/>
        <v>0.05400276314391128</v>
      </c>
      <c r="F76" s="38">
        <f t="shared" si="27"/>
        <v>0.07712816305925418</v>
      </c>
      <c r="G76" s="41">
        <f t="shared" si="27"/>
        <v>-0.019633619313222495</v>
      </c>
      <c r="H76" s="41">
        <f t="shared" si="27"/>
        <v>0.11463138507291193</v>
      </c>
      <c r="I76" s="41">
        <f t="shared" si="27"/>
        <v>0.16117033154300886</v>
      </c>
      <c r="J76" s="41">
        <f>+(J21/N21)-1</f>
        <v>0.06115342763873777</v>
      </c>
      <c r="K76" s="42">
        <f>+(K21/O21)-1</f>
        <v>0.048457658140261595</v>
      </c>
      <c r="L76" s="33">
        <f>+(L21/171240)-1</f>
        <v>0.036807988787666446</v>
      </c>
      <c r="M76" s="33">
        <f>+(M21/169221)-1</f>
        <v>0.005631688738395368</v>
      </c>
      <c r="N76" s="33">
        <f>+(N21/164869)-1</f>
        <v>0.08695388459928788</v>
      </c>
      <c r="O76" s="41">
        <f>+(O21/P21)-1</f>
        <v>0.05199265046873802</v>
      </c>
      <c r="P76" s="41">
        <f>+(P21/138309)-1</f>
        <v>0.23166966719447046</v>
      </c>
    </row>
    <row r="77" spans="1:16" ht="11.25">
      <c r="A77" s="2" t="s">
        <v>66</v>
      </c>
      <c r="C77" s="33">
        <f aca="true" t="shared" si="28" ref="C77:I77">(C25/G25)-1</f>
        <v>0.5542964218791826</v>
      </c>
      <c r="D77" s="33">
        <f t="shared" si="28"/>
        <v>0.05650095602294458</v>
      </c>
      <c r="E77" s="33">
        <f t="shared" si="28"/>
        <v>-0.034560327198363994</v>
      </c>
      <c r="F77" s="38">
        <f t="shared" si="28"/>
        <v>-0.03656542056074763</v>
      </c>
      <c r="G77" s="41">
        <f t="shared" si="28"/>
        <v>0.04387108792846495</v>
      </c>
      <c r="H77" s="41">
        <f t="shared" si="28"/>
        <v>0.04172891146300173</v>
      </c>
      <c r="I77" s="41">
        <f t="shared" si="28"/>
        <v>0.0625814863102998</v>
      </c>
      <c r="J77" s="33">
        <f>+(J25/N25)-1</f>
        <v>0.011820330969267046</v>
      </c>
      <c r="K77" s="42">
        <f>+(K25/O25)-1</f>
        <v>0.14529549818647314</v>
      </c>
      <c r="L77" s="33">
        <f>+(L25/8792)-1</f>
        <v>0.14206096451319383</v>
      </c>
      <c r="M77" s="33">
        <f>+(M25/8029)-1</f>
        <v>0.14634450118321096</v>
      </c>
      <c r="N77" s="33">
        <f>+(N25/8029)-1</f>
        <v>0.05368040851911826</v>
      </c>
      <c r="O77" s="33">
        <f>+(O25/P25)-1</f>
        <v>0.11502319495658386</v>
      </c>
      <c r="P77" s="33">
        <f>(P25/9278)-1</f>
        <v>-0.09387799094632465</v>
      </c>
    </row>
    <row r="78" spans="1:16" ht="11.25">
      <c r="A78" s="3" t="s">
        <v>67</v>
      </c>
      <c r="B78" s="3"/>
      <c r="C78" s="34">
        <f aca="true" t="shared" si="29" ref="C78:I78">(C40/G40)-1</f>
        <v>0.7007275132275133</v>
      </c>
      <c r="D78" s="34">
        <f t="shared" si="29"/>
        <v>0.4858247422680413</v>
      </c>
      <c r="E78" s="34">
        <f t="shared" si="29"/>
        <v>0.19451530612244894</v>
      </c>
      <c r="F78" s="35">
        <f t="shared" si="29"/>
        <v>-0.03041825095057038</v>
      </c>
      <c r="G78" s="34">
        <f t="shared" si="29"/>
        <v>0.019898819561551484</v>
      </c>
      <c r="H78" s="34">
        <f t="shared" si="29"/>
        <v>-0.025533696107157833</v>
      </c>
      <c r="I78" s="34">
        <f t="shared" si="29"/>
        <v>0.030900723208415526</v>
      </c>
      <c r="J78" s="34">
        <f>+(J40/N40)-1</f>
        <v>0.14847161572052392</v>
      </c>
      <c r="K78" s="36">
        <f>+(K40/O40)-1</f>
        <v>0.950657894736842</v>
      </c>
      <c r="L78" s="34">
        <f>+(L40/1023)-1</f>
        <v>1.3352883675464322</v>
      </c>
      <c r="M78" s="34">
        <f>+(M40/532)-1</f>
        <v>1.8590225563909772</v>
      </c>
      <c r="N78" s="34">
        <f>+(N40/259)-1</f>
        <v>1.6525096525096523</v>
      </c>
      <c r="O78" s="34">
        <f>+(O40/P40)-1</f>
        <v>1.389937106918239</v>
      </c>
      <c r="P78" s="34">
        <f>+(P40/1507)-1</f>
        <v>-0.5779694757796947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2017-06-16T17:20:25Z</dcterms:created>
  <dcterms:modified xsi:type="dcterms:W3CDTF">2017-06-16T17:20:28Z</dcterms:modified>
  <cp:category/>
  <cp:version/>
  <cp:contentType/>
  <cp:contentStatus/>
</cp:coreProperties>
</file>