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01" activeTab="0"/>
  </bookViews>
  <sheets>
    <sheet name="Sociéte" sheetId="1" r:id="rId1"/>
  </sheets>
  <definedNames>
    <definedName name="_xlnm.Print_Area" localSheetId="0">'Sociéte'!$A$1:$P$78</definedName>
  </definedNames>
  <calcPr fullCalcOnLoad="1"/>
</workbook>
</file>

<file path=xl/sharedStrings.xml><?xml version="1.0" encoding="utf-8"?>
<sst xmlns="http://schemas.openxmlformats.org/spreadsheetml/2006/main" count="89" uniqueCount="68">
  <si>
    <t>CUADRO No. 19-14</t>
  </si>
  <si>
    <t>BANCO SOCIETE GENERALE</t>
  </si>
  <si>
    <t>ESTADISTICA FINANCIERA. 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</si>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</sst>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Alignment="1">
      <alignment/>
    </xf>
    <xf numFmtId="201" fontId="3" fillId="0" borderId="17" xfId="46" applyNumberFormat="1" applyFont="1" applyFill="1" applyBorder="1" applyAlignment="1">
      <alignment/>
    </xf>
    <xf numFmtId="201" fontId="3" fillId="0" borderId="0" xfId="46" applyNumberFormat="1" applyFont="1" applyFill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8" xfId="46" applyNumberFormat="1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5" xfId="0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8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11.421875" defaultRowHeight="12.75"/>
  <cols>
    <col min="1" max="1" width="3.57421875" style="2" customWidth="1"/>
    <col min="2" max="2" width="27.8515625" style="2" customWidth="1"/>
    <col min="3" max="3" width="7.7109375" style="2" customWidth="1"/>
    <col min="4" max="4" width="8.140625" style="2" customWidth="1"/>
    <col min="5" max="5" width="7.7109375" style="2" customWidth="1"/>
    <col min="6" max="6" width="7.421875" style="2" customWidth="1"/>
    <col min="7" max="7" width="7.57421875" style="2" customWidth="1"/>
    <col min="8" max="8" width="8.00390625" style="2" customWidth="1"/>
    <col min="9" max="9" width="7.7109375" style="2" customWidth="1"/>
    <col min="10" max="10" width="7.57421875" style="2" customWidth="1"/>
    <col min="11" max="11" width="7.7109375" style="2" customWidth="1"/>
    <col min="12" max="12" width="8.140625" style="2" customWidth="1"/>
    <col min="13" max="13" width="7.7109375" style="2" customWidth="1"/>
    <col min="14" max="14" width="8.8515625" style="2" customWidth="1"/>
    <col min="15" max="15" width="7.28125" style="2" hidden="1" customWidth="1"/>
    <col min="16" max="16" width="0.13671875" style="2" hidden="1" customWidth="1"/>
    <col min="17" max="53" width="11.421875" style="2" customWidth="1"/>
    <col min="54" max="16384" width="11.421875" style="1" customWidth="1"/>
  </cols>
  <sheetData>
    <row r="1" spans="2:16" ht="11.25">
      <c r="B1" s="49"/>
      <c r="C1" s="49"/>
      <c r="D1" s="49"/>
      <c r="E1" s="49"/>
      <c r="F1" s="49"/>
      <c r="G1" s="49"/>
      <c r="H1" s="49" t="s">
        <v>0</v>
      </c>
      <c r="I1" s="49"/>
      <c r="J1" s="49"/>
      <c r="K1" s="49"/>
      <c r="L1" s="49"/>
      <c r="M1" s="49"/>
      <c r="N1" s="49"/>
      <c r="O1" s="49"/>
      <c r="P1" s="49"/>
    </row>
    <row r="2" spans="2:16" ht="11.25">
      <c r="B2" s="49"/>
      <c r="C2" s="49"/>
      <c r="D2" s="49"/>
      <c r="E2" s="49"/>
      <c r="F2" s="49"/>
      <c r="G2" s="49"/>
      <c r="H2" s="49" t="s">
        <v>1</v>
      </c>
      <c r="I2" s="49"/>
      <c r="J2" s="49"/>
      <c r="K2" s="49"/>
      <c r="L2" s="49"/>
      <c r="M2" s="49"/>
      <c r="N2" s="49"/>
      <c r="O2" s="49"/>
      <c r="P2" s="49"/>
    </row>
    <row r="3" spans="2:16" ht="11.25">
      <c r="B3" s="49"/>
      <c r="C3" s="49"/>
      <c r="D3" s="49"/>
      <c r="E3" s="49"/>
      <c r="F3" s="49"/>
      <c r="G3" s="49"/>
      <c r="H3" s="49" t="s">
        <v>2</v>
      </c>
      <c r="I3" s="49"/>
      <c r="J3" s="49"/>
      <c r="K3" s="49"/>
      <c r="L3" s="49"/>
      <c r="M3" s="49"/>
      <c r="N3" s="49"/>
      <c r="O3" s="49"/>
      <c r="P3" s="49"/>
    </row>
    <row r="4" spans="1:16" ht="11.25">
      <c r="A4" s="1"/>
      <c r="B4" s="48"/>
      <c r="C4" s="48"/>
      <c r="D4" s="48"/>
      <c r="E4" s="48"/>
      <c r="F4" s="48"/>
      <c r="G4" s="48"/>
      <c r="H4" s="48" t="s">
        <v>3</v>
      </c>
      <c r="I4" s="48"/>
      <c r="J4" s="48"/>
      <c r="K4" s="48"/>
      <c r="L4" s="48"/>
      <c r="M4" s="48"/>
      <c r="N4" s="48"/>
      <c r="O4" s="48"/>
      <c r="P4" s="48"/>
    </row>
    <row r="5" spans="1:16" ht="11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1">
        <v>2002</v>
      </c>
      <c r="D7" s="51"/>
      <c r="E7" s="51"/>
      <c r="F7" s="52"/>
      <c r="G7" s="51">
        <v>2001</v>
      </c>
      <c r="H7" s="51"/>
      <c r="I7" s="51"/>
      <c r="J7" s="51"/>
      <c r="K7" s="50">
        <v>2000</v>
      </c>
      <c r="L7" s="51"/>
      <c r="M7" s="51"/>
      <c r="N7" s="51"/>
      <c r="O7" s="51" t="s">
        <v>4</v>
      </c>
      <c r="P7" s="51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6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4"/>
      <c r="K9" s="15"/>
      <c r="L9" s="16"/>
      <c r="M9" s="16"/>
      <c r="N9" s="16"/>
      <c r="O9" s="14"/>
      <c r="P9" s="14"/>
    </row>
    <row r="10" spans="1:16" ht="11.25">
      <c r="A10" s="2" t="s">
        <v>12</v>
      </c>
      <c r="C10" s="17">
        <v>4738</v>
      </c>
      <c r="D10" s="17">
        <v>264483</v>
      </c>
      <c r="E10" s="18">
        <v>596278</v>
      </c>
      <c r="F10" s="19">
        <v>826351</v>
      </c>
      <c r="G10" s="17">
        <v>536754</v>
      </c>
      <c r="H10" s="17">
        <v>701262</v>
      </c>
      <c r="I10" s="17">
        <v>400194</v>
      </c>
      <c r="J10" s="17">
        <v>792266</v>
      </c>
      <c r="K10" s="20">
        <v>823373</v>
      </c>
      <c r="L10" s="18">
        <v>681412</v>
      </c>
      <c r="M10" s="18">
        <v>793485</v>
      </c>
      <c r="N10" s="18">
        <v>1051344</v>
      </c>
      <c r="O10" s="17">
        <v>965472</v>
      </c>
      <c r="P10" s="17">
        <v>1216052</v>
      </c>
    </row>
    <row r="11" spans="1:16" ht="11.25">
      <c r="A11" s="2" t="s">
        <v>13</v>
      </c>
      <c r="C11" s="17">
        <v>4462</v>
      </c>
      <c r="D11" s="17">
        <v>13436</v>
      </c>
      <c r="E11" s="18">
        <v>215953</v>
      </c>
      <c r="F11" s="19">
        <v>434726</v>
      </c>
      <c r="G11" s="17">
        <v>164981</v>
      </c>
      <c r="H11" s="17">
        <v>310417</v>
      </c>
      <c r="I11" s="17">
        <v>76187</v>
      </c>
      <c r="J11" s="17">
        <v>491694</v>
      </c>
      <c r="K11" s="20">
        <v>474565</v>
      </c>
      <c r="L11" s="18">
        <v>279675</v>
      </c>
      <c r="M11" s="18">
        <v>396417</v>
      </c>
      <c r="N11" s="18">
        <v>624302</v>
      </c>
      <c r="O11" s="17">
        <v>525310</v>
      </c>
      <c r="P11" s="17">
        <v>438604</v>
      </c>
    </row>
    <row r="12" spans="1:16" ht="11.25">
      <c r="A12" s="2" t="s">
        <v>14</v>
      </c>
      <c r="C12" s="18">
        <f aca="true" t="shared" si="0" ref="C12:P12">C13+C14</f>
        <v>0</v>
      </c>
      <c r="D12" s="18">
        <f t="shared" si="0"/>
        <v>235768</v>
      </c>
      <c r="E12" s="18">
        <f t="shared" si="0"/>
        <v>362220</v>
      </c>
      <c r="F12" s="19">
        <f t="shared" si="0"/>
        <v>372560</v>
      </c>
      <c r="G12" s="17">
        <f t="shared" si="0"/>
        <v>355481</v>
      </c>
      <c r="H12" s="17">
        <f t="shared" si="0"/>
        <v>380637</v>
      </c>
      <c r="I12" s="17">
        <f t="shared" si="0"/>
        <v>316542</v>
      </c>
      <c r="J12" s="17">
        <f t="shared" si="0"/>
        <v>286182</v>
      </c>
      <c r="K12" s="20">
        <f t="shared" si="0"/>
        <v>334819</v>
      </c>
      <c r="L12" s="18">
        <f t="shared" si="0"/>
        <v>389029</v>
      </c>
      <c r="M12" s="18">
        <f t="shared" si="0"/>
        <v>384088</v>
      </c>
      <c r="N12" s="18">
        <f t="shared" si="0"/>
        <v>410451</v>
      </c>
      <c r="O12" s="17">
        <f t="shared" si="0"/>
        <v>425721</v>
      </c>
      <c r="P12" s="17">
        <f t="shared" si="0"/>
        <v>754869</v>
      </c>
    </row>
    <row r="13" spans="2:16" ht="11.25">
      <c r="B13" s="2" t="s">
        <v>15</v>
      </c>
      <c r="C13" s="18">
        <v>0</v>
      </c>
      <c r="D13" s="18">
        <v>0</v>
      </c>
      <c r="E13" s="18">
        <v>0</v>
      </c>
      <c r="F13" s="19">
        <v>0</v>
      </c>
      <c r="G13" s="21">
        <v>0</v>
      </c>
      <c r="H13" s="21">
        <v>0</v>
      </c>
      <c r="I13" s="17">
        <v>0</v>
      </c>
      <c r="J13" s="17">
        <v>0</v>
      </c>
      <c r="K13" s="20"/>
      <c r="L13" s="18"/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0</v>
      </c>
      <c r="D14" s="17">
        <v>235768</v>
      </c>
      <c r="E14" s="18">
        <v>362220</v>
      </c>
      <c r="F14" s="19">
        <v>372560</v>
      </c>
      <c r="G14" s="17">
        <v>355481</v>
      </c>
      <c r="H14" s="17">
        <v>380637</v>
      </c>
      <c r="I14" s="17">
        <v>316542</v>
      </c>
      <c r="J14" s="17">
        <v>286182</v>
      </c>
      <c r="K14" s="20">
        <v>334819</v>
      </c>
      <c r="L14" s="18">
        <v>389029</v>
      </c>
      <c r="M14" s="18">
        <v>384088</v>
      </c>
      <c r="N14" s="18">
        <v>410451</v>
      </c>
      <c r="O14" s="17">
        <v>425721</v>
      </c>
      <c r="P14" s="17">
        <v>754869</v>
      </c>
    </row>
    <row r="15" spans="1:16" ht="11.25">
      <c r="A15" s="2" t="s">
        <v>17</v>
      </c>
      <c r="C15" s="17">
        <v>0</v>
      </c>
      <c r="D15" s="17">
        <v>10000</v>
      </c>
      <c r="E15" s="18">
        <v>10798</v>
      </c>
      <c r="F15" s="19">
        <v>10859</v>
      </c>
      <c r="G15" s="17">
        <v>10859</v>
      </c>
      <c r="H15" s="17">
        <v>920</v>
      </c>
      <c r="I15" s="17">
        <v>920</v>
      </c>
      <c r="J15" s="17">
        <v>920</v>
      </c>
      <c r="K15" s="20">
        <v>981</v>
      </c>
      <c r="L15" s="18">
        <v>981</v>
      </c>
      <c r="M15" s="18">
        <v>3135</v>
      </c>
      <c r="N15" s="18">
        <v>3300</v>
      </c>
      <c r="O15" s="17">
        <v>3616</v>
      </c>
      <c r="P15" s="17">
        <v>4720</v>
      </c>
    </row>
    <row r="16" spans="1:16" ht="11.25">
      <c r="A16" s="2" t="s">
        <v>18</v>
      </c>
      <c r="C16" s="18">
        <f aca="true" t="shared" si="1" ref="C16:P16">C17+C21</f>
        <v>0</v>
      </c>
      <c r="D16" s="18">
        <f t="shared" si="1"/>
        <v>256036</v>
      </c>
      <c r="E16" s="18">
        <f t="shared" si="1"/>
        <v>579536</v>
      </c>
      <c r="F16" s="22">
        <f t="shared" si="1"/>
        <v>807818</v>
      </c>
      <c r="G16" s="23">
        <f t="shared" si="1"/>
        <v>521735</v>
      </c>
      <c r="H16" s="17">
        <f t="shared" si="1"/>
        <v>683806</v>
      </c>
      <c r="I16" s="17">
        <f t="shared" si="1"/>
        <v>386345</v>
      </c>
      <c r="J16" s="17">
        <f t="shared" si="1"/>
        <v>774100</v>
      </c>
      <c r="K16" s="20">
        <f t="shared" si="1"/>
        <v>799378</v>
      </c>
      <c r="L16" s="18">
        <f t="shared" si="1"/>
        <v>661264</v>
      </c>
      <c r="M16" s="18">
        <f t="shared" si="1"/>
        <v>845191</v>
      </c>
      <c r="N16" s="18">
        <f t="shared" si="1"/>
        <v>1031709</v>
      </c>
      <c r="O16" s="17">
        <f t="shared" si="1"/>
        <v>942082</v>
      </c>
      <c r="P16" s="17">
        <f t="shared" si="1"/>
        <v>1186033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0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8">
        <v>0</v>
      </c>
      <c r="G18" s="20">
        <v>0</v>
      </c>
      <c r="H18" s="17">
        <v>0</v>
      </c>
      <c r="I18" s="17">
        <v>0</v>
      </c>
      <c r="J18" s="17">
        <v>0</v>
      </c>
      <c r="K18" s="20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8">
        <v>0</v>
      </c>
      <c r="G19" s="20">
        <v>0</v>
      </c>
      <c r="H19" s="17">
        <v>0</v>
      </c>
      <c r="I19" s="17">
        <v>0</v>
      </c>
      <c r="J19" s="17">
        <v>0</v>
      </c>
      <c r="K19" s="20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8">
        <v>0</v>
      </c>
      <c r="G20" s="20">
        <v>0</v>
      </c>
      <c r="H20" s="17">
        <v>0</v>
      </c>
      <c r="I20" s="17">
        <v>0</v>
      </c>
      <c r="J20" s="17">
        <v>0</v>
      </c>
      <c r="K20" s="20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+C22+C23+C24</f>
        <v>0</v>
      </c>
      <c r="D21" s="18">
        <f>+D22+D23+D24</f>
        <v>256036</v>
      </c>
      <c r="E21" s="18">
        <f>+E22+E23+E24</f>
        <v>579536</v>
      </c>
      <c r="F21" s="18">
        <f>+F22+F23+F24</f>
        <v>807818</v>
      </c>
      <c r="G21" s="20">
        <f aca="true" t="shared" si="3" ref="G21:P21">SUM(G23:G24)</f>
        <v>521735</v>
      </c>
      <c r="H21" s="17">
        <f t="shared" si="3"/>
        <v>683806</v>
      </c>
      <c r="I21" s="17">
        <f t="shared" si="3"/>
        <v>386345</v>
      </c>
      <c r="J21" s="17">
        <f t="shared" si="3"/>
        <v>774100</v>
      </c>
      <c r="K21" s="20">
        <f t="shared" si="3"/>
        <v>799378</v>
      </c>
      <c r="L21" s="18">
        <f t="shared" si="3"/>
        <v>661264</v>
      </c>
      <c r="M21" s="18">
        <f t="shared" si="3"/>
        <v>845191</v>
      </c>
      <c r="N21" s="18">
        <f t="shared" si="3"/>
        <v>1031709</v>
      </c>
      <c r="O21" s="17">
        <f t="shared" si="3"/>
        <v>942082</v>
      </c>
      <c r="P21" s="17">
        <f t="shared" si="3"/>
        <v>1186033</v>
      </c>
    </row>
    <row r="22" spans="2:16" ht="11.25">
      <c r="B22" s="2" t="s">
        <v>19</v>
      </c>
      <c r="C22" s="18"/>
      <c r="D22" s="18"/>
      <c r="E22" s="18"/>
      <c r="F22" s="18"/>
      <c r="G22" s="20"/>
      <c r="H22" s="17"/>
      <c r="I22" s="17"/>
      <c r="J22" s="17"/>
      <c r="K22" s="20"/>
      <c r="L22" s="18"/>
      <c r="M22" s="18"/>
      <c r="N22" s="18"/>
      <c r="O22" s="17"/>
      <c r="P22" s="17"/>
    </row>
    <row r="23" spans="2:16" ht="11.25">
      <c r="B23" s="2" t="s">
        <v>20</v>
      </c>
      <c r="C23" s="17"/>
      <c r="D23" s="17">
        <v>4</v>
      </c>
      <c r="E23" s="18">
        <v>318</v>
      </c>
      <c r="F23" s="18">
        <f>1926+448</f>
        <v>2374</v>
      </c>
      <c r="G23" s="20">
        <f>1315+1752</f>
        <v>3067</v>
      </c>
      <c r="H23" s="17">
        <f>1023+1451</f>
        <v>2474</v>
      </c>
      <c r="I23" s="17">
        <v>3232</v>
      </c>
      <c r="J23" s="17">
        <v>5909</v>
      </c>
      <c r="K23" s="20">
        <f>9203+6346</f>
        <v>15549</v>
      </c>
      <c r="L23" s="18">
        <v>7298</v>
      </c>
      <c r="M23" s="18">
        <v>10633</v>
      </c>
      <c r="N23" s="18">
        <v>9962</v>
      </c>
      <c r="O23" s="17">
        <v>26725</v>
      </c>
      <c r="P23" s="17">
        <v>19460</v>
      </c>
    </row>
    <row r="24" spans="2:16" ht="11.25">
      <c r="B24" s="2" t="s">
        <v>21</v>
      </c>
      <c r="C24" s="17"/>
      <c r="D24" s="17">
        <v>256032</v>
      </c>
      <c r="E24" s="18">
        <v>579218</v>
      </c>
      <c r="F24" s="18">
        <f>3+175+256940+548326</f>
        <v>805444</v>
      </c>
      <c r="G24" s="20">
        <f>211050+307318+297+3</f>
        <v>518668</v>
      </c>
      <c r="H24" s="17">
        <f>3+265+199375+481689</f>
        <v>681332</v>
      </c>
      <c r="I24" s="17">
        <v>383113</v>
      </c>
      <c r="J24" s="17">
        <v>768191</v>
      </c>
      <c r="K24" s="20">
        <f>3+833+114100+668893</f>
        <v>783829</v>
      </c>
      <c r="L24" s="18">
        <v>653966</v>
      </c>
      <c r="M24" s="18">
        <v>834558</v>
      </c>
      <c r="N24" s="18">
        <v>1021747</v>
      </c>
      <c r="O24" s="17">
        <v>915357</v>
      </c>
      <c r="P24" s="17">
        <v>1166573</v>
      </c>
    </row>
    <row r="25" spans="1:16" ht="11.25">
      <c r="A25" s="3" t="s">
        <v>22</v>
      </c>
      <c r="B25" s="3"/>
      <c r="C25" s="24">
        <v>4695</v>
      </c>
      <c r="D25" s="24">
        <v>6765</v>
      </c>
      <c r="E25" s="24">
        <v>7710</v>
      </c>
      <c r="F25" s="24">
        <v>10704</v>
      </c>
      <c r="G25" s="25">
        <v>6982</v>
      </c>
      <c r="H25" s="24">
        <v>4775</v>
      </c>
      <c r="I25" s="24">
        <v>3257</v>
      </c>
      <c r="J25" s="24">
        <v>2297</v>
      </c>
      <c r="K25" s="25">
        <v>10032</v>
      </c>
      <c r="L25" s="24">
        <v>8432</v>
      </c>
      <c r="M25" s="24">
        <v>6580</v>
      </c>
      <c r="N25" s="24">
        <v>5171</v>
      </c>
      <c r="O25" s="24">
        <v>9208</v>
      </c>
      <c r="P25" s="24">
        <v>16380</v>
      </c>
    </row>
    <row r="26" spans="1:16" ht="11.25">
      <c r="A26" s="11" t="s">
        <v>23</v>
      </c>
      <c r="C26" s="5"/>
      <c r="D26" s="17"/>
      <c r="E26" s="18"/>
      <c r="F26" s="26"/>
      <c r="J26" s="17"/>
      <c r="K26" s="20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270746</v>
      </c>
      <c r="D27" s="18">
        <f t="shared" si="4"/>
        <v>482872.5</v>
      </c>
      <c r="E27" s="18">
        <f t="shared" si="4"/>
        <v>498236</v>
      </c>
      <c r="F27" s="19">
        <f t="shared" si="4"/>
        <v>809308.5</v>
      </c>
      <c r="G27" s="17">
        <f t="shared" si="4"/>
        <v>680063.5</v>
      </c>
      <c r="H27" s="17">
        <f t="shared" si="4"/>
        <v>691337</v>
      </c>
      <c r="I27" s="17">
        <f t="shared" si="4"/>
        <v>596839.5</v>
      </c>
      <c r="J27" s="17">
        <f>+(J10+N10)/2</f>
        <v>921805</v>
      </c>
      <c r="K27" s="20">
        <f>+(K10+O10)/2</f>
        <v>894422.5</v>
      </c>
      <c r="L27" s="18">
        <f>+(866056+L10)/2</f>
        <v>773734</v>
      </c>
      <c r="M27" s="18">
        <f>+(1110451+M10)/2</f>
        <v>951968</v>
      </c>
      <c r="N27" s="18">
        <f>+(1235972+N10)/2</f>
        <v>1143658</v>
      </c>
      <c r="O27" s="17">
        <f>(O10+P10)/2</f>
        <v>1090762</v>
      </c>
      <c r="P27" s="17">
        <f>(P10+1351723)/2</f>
        <v>1283887.5</v>
      </c>
    </row>
    <row r="28" spans="1:16" ht="11.25">
      <c r="A28" s="2" t="s">
        <v>24</v>
      </c>
      <c r="C28" s="18">
        <f aca="true" t="shared" si="5" ref="C28:P28">C29+C30</f>
        <v>183170</v>
      </c>
      <c r="D28" s="18">
        <f t="shared" si="5"/>
        <v>313662.5</v>
      </c>
      <c r="E28" s="18">
        <f t="shared" si="5"/>
        <v>345240</v>
      </c>
      <c r="F28" s="19">
        <f t="shared" si="5"/>
        <v>335260.5</v>
      </c>
      <c r="G28" s="17">
        <f t="shared" si="5"/>
        <v>351070</v>
      </c>
      <c r="H28" s="17">
        <f t="shared" si="5"/>
        <v>385783.5</v>
      </c>
      <c r="I28" s="17">
        <f t="shared" si="5"/>
        <v>352342.5</v>
      </c>
      <c r="J28" s="17">
        <f t="shared" si="5"/>
        <v>350426.5</v>
      </c>
      <c r="K28" s="20">
        <f t="shared" si="5"/>
        <v>382568.5</v>
      </c>
      <c r="L28" s="18">
        <f t="shared" si="5"/>
        <v>515225</v>
      </c>
      <c r="M28" s="18">
        <f t="shared" si="5"/>
        <v>505117</v>
      </c>
      <c r="N28" s="18">
        <f t="shared" si="5"/>
        <v>617181</v>
      </c>
      <c r="O28" s="17">
        <f t="shared" si="5"/>
        <v>594463</v>
      </c>
      <c r="P28" s="17">
        <f t="shared" si="5"/>
        <v>904229</v>
      </c>
    </row>
    <row r="29" spans="2:16" ht="11.25">
      <c r="B29" s="2" t="s">
        <v>14</v>
      </c>
      <c r="C29" s="18">
        <f aca="true" t="shared" si="6" ref="C29:I29">(C12+G12)/2</f>
        <v>177740.5</v>
      </c>
      <c r="D29" s="18">
        <f t="shared" si="6"/>
        <v>308202.5</v>
      </c>
      <c r="E29" s="18">
        <f t="shared" si="6"/>
        <v>339381</v>
      </c>
      <c r="F29" s="19">
        <f t="shared" si="6"/>
        <v>329371</v>
      </c>
      <c r="G29" s="17">
        <f t="shared" si="6"/>
        <v>345150</v>
      </c>
      <c r="H29" s="17">
        <f t="shared" si="6"/>
        <v>384833</v>
      </c>
      <c r="I29" s="17">
        <f t="shared" si="6"/>
        <v>350315</v>
      </c>
      <c r="J29" s="17">
        <f>+(J12+N12)/2</f>
        <v>348316.5</v>
      </c>
      <c r="K29" s="20">
        <f>+(K12+O12)/2</f>
        <v>380270</v>
      </c>
      <c r="L29" s="18">
        <f>+(636583+L12)/2</f>
        <v>512806</v>
      </c>
      <c r="M29" s="18">
        <f>+(618847+M12)/2</f>
        <v>501467.5</v>
      </c>
      <c r="N29" s="18">
        <f>+(816197+N12)/2</f>
        <v>613324</v>
      </c>
      <c r="O29" s="17">
        <f>(O12+P12)/2</f>
        <v>590295</v>
      </c>
      <c r="P29" s="17">
        <f>(P12+1043119)/2</f>
        <v>898994</v>
      </c>
    </row>
    <row r="30" spans="2:16" ht="11.25">
      <c r="B30" s="2" t="s">
        <v>17</v>
      </c>
      <c r="C30" s="18">
        <f aca="true" t="shared" si="7" ref="C30:I30">(C15+G15)/2</f>
        <v>5429.5</v>
      </c>
      <c r="D30" s="18">
        <f t="shared" si="7"/>
        <v>5460</v>
      </c>
      <c r="E30" s="18">
        <f t="shared" si="7"/>
        <v>5859</v>
      </c>
      <c r="F30" s="19">
        <f t="shared" si="7"/>
        <v>5889.5</v>
      </c>
      <c r="G30" s="17">
        <f t="shared" si="7"/>
        <v>5920</v>
      </c>
      <c r="H30" s="17">
        <f t="shared" si="7"/>
        <v>950.5</v>
      </c>
      <c r="I30" s="17">
        <f t="shared" si="7"/>
        <v>2027.5</v>
      </c>
      <c r="J30" s="17">
        <f>+(J15+N15)/2</f>
        <v>2110</v>
      </c>
      <c r="K30" s="20">
        <f>+(K15+O15)/2</f>
        <v>2298.5</v>
      </c>
      <c r="L30" s="18">
        <f>+(3857+L15)/2</f>
        <v>2419</v>
      </c>
      <c r="M30" s="18">
        <f>+(4164+M15)/2</f>
        <v>3649.5</v>
      </c>
      <c r="N30" s="18">
        <f>+(4414+N15)/2</f>
        <v>3857</v>
      </c>
      <c r="O30" s="17">
        <f>(O15+P15)/2</f>
        <v>4168</v>
      </c>
      <c r="P30" s="17">
        <f>(P15+5750)/2</f>
        <v>5235</v>
      </c>
    </row>
    <row r="31" spans="1:16" ht="11.25">
      <c r="A31" s="3" t="s">
        <v>22</v>
      </c>
      <c r="B31" s="3"/>
      <c r="C31" s="24">
        <f aca="true" t="shared" si="8" ref="C31:I31">(C25+G25)/2</f>
        <v>5838.5</v>
      </c>
      <c r="D31" s="18">
        <f t="shared" si="8"/>
        <v>5770</v>
      </c>
      <c r="E31" s="18">
        <f t="shared" si="8"/>
        <v>5483.5</v>
      </c>
      <c r="F31" s="27">
        <f t="shared" si="8"/>
        <v>6500.5</v>
      </c>
      <c r="G31" s="24">
        <f t="shared" si="8"/>
        <v>8507</v>
      </c>
      <c r="H31" s="24">
        <f t="shared" si="8"/>
        <v>6603.5</v>
      </c>
      <c r="I31" s="24">
        <f t="shared" si="8"/>
        <v>4918.5</v>
      </c>
      <c r="J31" s="24">
        <f>+(J25+N25)/2</f>
        <v>3734</v>
      </c>
      <c r="K31" s="25">
        <f>+(K25+O25)/2</f>
        <v>9620</v>
      </c>
      <c r="L31" s="24">
        <f>+(6631+L25)/2</f>
        <v>7531.5</v>
      </c>
      <c r="M31" s="24">
        <f>+(4319+M25)/2</f>
        <v>5449.5</v>
      </c>
      <c r="N31" s="24">
        <f>+(5881+N25)/2</f>
        <v>5526</v>
      </c>
      <c r="O31" s="24">
        <f>(O25+P25)/2</f>
        <v>12794</v>
      </c>
      <c r="P31" s="24">
        <f>(P25+15379)/2</f>
        <v>15879.5</v>
      </c>
    </row>
    <row r="32" spans="1:14" ht="11.25">
      <c r="A32" s="11" t="s">
        <v>25</v>
      </c>
      <c r="D32" s="28"/>
      <c r="E32" s="28"/>
      <c r="F32" s="26"/>
      <c r="J32" s="17"/>
      <c r="K32" s="29"/>
      <c r="L32" s="4"/>
      <c r="M32" s="4"/>
      <c r="N32" s="4"/>
    </row>
    <row r="33" spans="1:16" ht="11.25">
      <c r="A33" s="2" t="s">
        <v>26</v>
      </c>
      <c r="C33" s="17">
        <v>15676</v>
      </c>
      <c r="D33" s="18">
        <v>14517</v>
      </c>
      <c r="E33" s="18">
        <v>11555</v>
      </c>
      <c r="F33" s="19">
        <v>6023</v>
      </c>
      <c r="G33" s="17">
        <v>35529</v>
      </c>
      <c r="H33" s="17">
        <v>29419</v>
      </c>
      <c r="I33" s="17">
        <v>22126</v>
      </c>
      <c r="J33" s="17">
        <v>13468</v>
      </c>
      <c r="K33" s="20">
        <v>56819</v>
      </c>
      <c r="L33" s="18">
        <v>41892</v>
      </c>
      <c r="M33" s="18">
        <v>30193</v>
      </c>
      <c r="N33" s="18">
        <v>16976</v>
      </c>
      <c r="O33" s="17">
        <v>69937</v>
      </c>
      <c r="P33" s="17">
        <v>105175</v>
      </c>
    </row>
    <row r="34" spans="1:16" ht="11.25">
      <c r="A34" s="2" t="s">
        <v>27</v>
      </c>
      <c r="C34" s="17">
        <v>9320</v>
      </c>
      <c r="D34" s="18">
        <v>8729</v>
      </c>
      <c r="E34" s="18">
        <v>7158</v>
      </c>
      <c r="F34" s="19">
        <v>3783</v>
      </c>
      <c r="G34" s="17">
        <v>28523</v>
      </c>
      <c r="H34" s="17">
        <v>24541</v>
      </c>
      <c r="I34" s="17">
        <v>18812</v>
      </c>
      <c r="J34" s="17">
        <v>11726</v>
      </c>
      <c r="K34" s="20">
        <v>48734</v>
      </c>
      <c r="L34" s="18">
        <v>35714</v>
      </c>
      <c r="M34" s="18">
        <v>25914</v>
      </c>
      <c r="N34" s="18">
        <v>14734</v>
      </c>
      <c r="O34" s="17">
        <v>58047</v>
      </c>
      <c r="P34" s="17">
        <v>89597</v>
      </c>
    </row>
    <row r="35" spans="1:16" ht="11.25">
      <c r="A35" s="2" t="s">
        <v>28</v>
      </c>
      <c r="C35" s="18">
        <f>+C33-C34</f>
        <v>6356</v>
      </c>
      <c r="D35" s="18">
        <f>+D33-D34</f>
        <v>5788</v>
      </c>
      <c r="E35" s="18">
        <f>+E33-E34</f>
        <v>4397</v>
      </c>
      <c r="F35" s="19">
        <f>+F33-F34</f>
        <v>2240</v>
      </c>
      <c r="G35" s="17">
        <f>+G33-G34</f>
        <v>7006</v>
      </c>
      <c r="H35" s="17">
        <f aca="true" t="shared" si="9" ref="H35:P35">H33-H34</f>
        <v>4878</v>
      </c>
      <c r="I35" s="17">
        <f t="shared" si="9"/>
        <v>3314</v>
      </c>
      <c r="J35" s="17">
        <f t="shared" si="9"/>
        <v>1742</v>
      </c>
      <c r="K35" s="20">
        <f t="shared" si="9"/>
        <v>8085</v>
      </c>
      <c r="L35" s="18">
        <f t="shared" si="9"/>
        <v>6178</v>
      </c>
      <c r="M35" s="18">
        <f t="shared" si="9"/>
        <v>4279</v>
      </c>
      <c r="N35" s="18">
        <f t="shared" si="9"/>
        <v>2242</v>
      </c>
      <c r="O35" s="17">
        <f t="shared" si="9"/>
        <v>11890</v>
      </c>
      <c r="P35" s="17">
        <f t="shared" si="9"/>
        <v>15578</v>
      </c>
    </row>
    <row r="36" spans="1:16" ht="11.25">
      <c r="A36" s="2" t="s">
        <v>29</v>
      </c>
      <c r="C36" s="17">
        <v>6608</v>
      </c>
      <c r="D36" s="18">
        <v>6451</v>
      </c>
      <c r="E36" s="18">
        <v>2963</v>
      </c>
      <c r="F36" s="19">
        <v>1885</v>
      </c>
      <c r="G36" s="17">
        <v>875</v>
      </c>
      <c r="H36" s="17">
        <v>520</v>
      </c>
      <c r="I36" s="17">
        <v>241</v>
      </c>
      <c r="J36" s="17">
        <v>72</v>
      </c>
      <c r="K36" s="20">
        <v>1170</v>
      </c>
      <c r="L36" s="18">
        <v>1088</v>
      </c>
      <c r="M36" s="18">
        <v>848</v>
      </c>
      <c r="N36" s="18">
        <v>290</v>
      </c>
      <c r="O36" s="17">
        <v>689</v>
      </c>
      <c r="P36" s="17">
        <v>1260</v>
      </c>
    </row>
    <row r="37" spans="1:16" ht="11.25">
      <c r="A37" s="2" t="s">
        <v>30</v>
      </c>
      <c r="C37" s="17">
        <f>+C36+C35</f>
        <v>12964</v>
      </c>
      <c r="D37" s="18">
        <f>+D36+D35</f>
        <v>12239</v>
      </c>
      <c r="E37" s="18">
        <f>+E36+E35</f>
        <v>7360</v>
      </c>
      <c r="F37" s="19">
        <f>+F36+F35</f>
        <v>4125</v>
      </c>
      <c r="G37" s="17">
        <f>+G35+G36</f>
        <v>7881</v>
      </c>
      <c r="H37" s="17">
        <f aca="true" t="shared" si="10" ref="H37:P37">H35+H36</f>
        <v>5398</v>
      </c>
      <c r="I37" s="17">
        <f t="shared" si="10"/>
        <v>3555</v>
      </c>
      <c r="J37" s="17">
        <f t="shared" si="10"/>
        <v>1814</v>
      </c>
      <c r="K37" s="20">
        <f t="shared" si="10"/>
        <v>9255</v>
      </c>
      <c r="L37" s="18">
        <f t="shared" si="10"/>
        <v>7266</v>
      </c>
      <c r="M37" s="18">
        <f t="shared" si="10"/>
        <v>5127</v>
      </c>
      <c r="N37" s="18">
        <f t="shared" si="10"/>
        <v>2532</v>
      </c>
      <c r="O37" s="17">
        <f t="shared" si="10"/>
        <v>12579</v>
      </c>
      <c r="P37" s="17">
        <f t="shared" si="10"/>
        <v>16838</v>
      </c>
    </row>
    <row r="38" spans="1:16" ht="11.25">
      <c r="A38" s="2" t="s">
        <v>31</v>
      </c>
      <c r="C38" s="17">
        <v>1825</v>
      </c>
      <c r="D38" s="18">
        <v>1398</v>
      </c>
      <c r="E38" s="18">
        <v>733</v>
      </c>
      <c r="F38" s="19">
        <v>375</v>
      </c>
      <c r="G38" s="17">
        <v>1168</v>
      </c>
      <c r="H38" s="17">
        <v>910</v>
      </c>
      <c r="I38" s="17">
        <v>621</v>
      </c>
      <c r="J38" s="17">
        <v>308</v>
      </c>
      <c r="K38" s="20">
        <v>1220</v>
      </c>
      <c r="L38" s="18">
        <v>963</v>
      </c>
      <c r="M38" s="18">
        <v>687</v>
      </c>
      <c r="N38" s="18">
        <v>367</v>
      </c>
      <c r="O38" s="17">
        <v>1402</v>
      </c>
      <c r="P38" s="17">
        <v>2040</v>
      </c>
    </row>
    <row r="39" spans="1:16" ht="11.25">
      <c r="A39" s="2" t="s">
        <v>32</v>
      </c>
      <c r="C39" s="17">
        <f>+C37-C38</f>
        <v>11139</v>
      </c>
      <c r="D39" s="18">
        <f>+D37-D38</f>
        <v>10841</v>
      </c>
      <c r="E39" s="18">
        <f>+E37-E38</f>
        <v>6627</v>
      </c>
      <c r="F39" s="19">
        <f>+F37-F38</f>
        <v>3750</v>
      </c>
      <c r="G39" s="17">
        <f>+G37-G38</f>
        <v>6713</v>
      </c>
      <c r="H39" s="17">
        <f aca="true" t="shared" si="11" ref="H39:P39">H37-H38</f>
        <v>4488</v>
      </c>
      <c r="I39" s="17">
        <f t="shared" si="11"/>
        <v>2934</v>
      </c>
      <c r="J39" s="17">
        <f t="shared" si="11"/>
        <v>1506</v>
      </c>
      <c r="K39" s="20">
        <f t="shared" si="11"/>
        <v>8035</v>
      </c>
      <c r="L39" s="18">
        <f t="shared" si="11"/>
        <v>6303</v>
      </c>
      <c r="M39" s="18">
        <f t="shared" si="11"/>
        <v>4440</v>
      </c>
      <c r="N39" s="18">
        <f t="shared" si="11"/>
        <v>2165</v>
      </c>
      <c r="O39" s="17">
        <f t="shared" si="11"/>
        <v>11177</v>
      </c>
      <c r="P39" s="17">
        <f t="shared" si="11"/>
        <v>14798</v>
      </c>
    </row>
    <row r="40" spans="1:16" ht="11.25">
      <c r="A40" s="3" t="s">
        <v>33</v>
      </c>
      <c r="B40" s="3"/>
      <c r="C40" s="24">
        <f>+C39-9444</f>
        <v>1695</v>
      </c>
      <c r="D40" s="24">
        <v>3765</v>
      </c>
      <c r="E40" s="24">
        <v>4710</v>
      </c>
      <c r="F40" s="27">
        <f>+F39-27</f>
        <v>3723</v>
      </c>
      <c r="G40" s="24">
        <f>+G39-2730</f>
        <v>3983</v>
      </c>
      <c r="H40" s="24">
        <v>1775</v>
      </c>
      <c r="I40" s="24">
        <v>257</v>
      </c>
      <c r="J40" s="24">
        <f>+J39-2209</f>
        <v>-703</v>
      </c>
      <c r="K40" s="25">
        <v>7033</v>
      </c>
      <c r="L40" s="24">
        <v>5432</v>
      </c>
      <c r="M40" s="24">
        <v>4409</v>
      </c>
      <c r="N40" s="24">
        <v>2174</v>
      </c>
      <c r="O40" s="24">
        <v>6135</v>
      </c>
      <c r="P40" s="24">
        <v>14797</v>
      </c>
    </row>
    <row r="41" spans="1:16" ht="11.25">
      <c r="A41" s="30" t="s">
        <v>34</v>
      </c>
      <c r="B41" s="5"/>
      <c r="C41" s="4"/>
      <c r="D41" s="17"/>
      <c r="E41" s="18"/>
      <c r="F41" s="19"/>
      <c r="G41" s="4"/>
      <c r="H41" s="4"/>
      <c r="I41" s="17"/>
      <c r="J41" s="5"/>
      <c r="K41" s="31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17">
        <v>0</v>
      </c>
      <c r="D42" s="17">
        <v>0</v>
      </c>
      <c r="E42" s="18">
        <v>5586</v>
      </c>
      <c r="F42" s="19">
        <v>5586</v>
      </c>
      <c r="G42" s="4">
        <v>5532</v>
      </c>
      <c r="H42" s="18">
        <v>7017</v>
      </c>
      <c r="I42" s="17">
        <v>0</v>
      </c>
      <c r="J42" s="18">
        <v>0</v>
      </c>
      <c r="K42" s="20">
        <v>2614</v>
      </c>
      <c r="L42" s="18">
        <v>2614</v>
      </c>
      <c r="M42" s="18">
        <v>2664</v>
      </c>
      <c r="N42" s="18">
        <v>2714</v>
      </c>
      <c r="O42" s="18">
        <v>3207</v>
      </c>
      <c r="P42" s="18">
        <v>0</v>
      </c>
    </row>
    <row r="43" spans="1:16" ht="11.25">
      <c r="A43" s="4" t="s">
        <v>36</v>
      </c>
      <c r="B43" s="4"/>
      <c r="C43" s="17">
        <v>0</v>
      </c>
      <c r="D43" s="17">
        <v>0</v>
      </c>
      <c r="E43" s="18">
        <v>5460</v>
      </c>
      <c r="F43" s="19">
        <v>3669</v>
      </c>
      <c r="G43" s="4">
        <v>5358</v>
      </c>
      <c r="H43" s="18">
        <v>5155</v>
      </c>
      <c r="I43" s="17">
        <v>5155</v>
      </c>
      <c r="J43" s="18">
        <v>4736</v>
      </c>
      <c r="K43" s="20">
        <v>2670</v>
      </c>
      <c r="L43" s="18">
        <v>2670</v>
      </c>
      <c r="M43" s="18">
        <v>2000</v>
      </c>
      <c r="N43" s="18">
        <v>2000</v>
      </c>
      <c r="O43" s="18">
        <v>2000</v>
      </c>
      <c r="P43" s="18">
        <v>0</v>
      </c>
    </row>
    <row r="44" spans="1:16" ht="11.25">
      <c r="A44" s="4" t="s">
        <v>37</v>
      </c>
      <c r="B44" s="4"/>
      <c r="C44" s="32">
        <v>0</v>
      </c>
      <c r="D44" s="33">
        <f aca="true" t="shared" si="12" ref="D44:P44">D42/D12</f>
        <v>0</v>
      </c>
      <c r="E44" s="33">
        <f t="shared" si="12"/>
        <v>0.01542156700347855</v>
      </c>
      <c r="F44" s="34">
        <f t="shared" si="12"/>
        <v>0.014993558084603823</v>
      </c>
      <c r="G44" s="32">
        <f t="shared" si="12"/>
        <v>0.015562013159634411</v>
      </c>
      <c r="H44" s="32">
        <f t="shared" si="12"/>
        <v>0.01843488678189456</v>
      </c>
      <c r="I44" s="32">
        <f t="shared" si="12"/>
        <v>0</v>
      </c>
      <c r="J44" s="33">
        <f t="shared" si="12"/>
        <v>0</v>
      </c>
      <c r="K44" s="35">
        <f t="shared" si="12"/>
        <v>0.007807203294914565</v>
      </c>
      <c r="L44" s="33">
        <f t="shared" si="12"/>
        <v>0.006719293420284863</v>
      </c>
      <c r="M44" s="33">
        <f t="shared" si="12"/>
        <v>0.0069359105205057175</v>
      </c>
      <c r="N44" s="33">
        <f t="shared" si="12"/>
        <v>0.0066122387325161834</v>
      </c>
      <c r="O44" s="33">
        <f t="shared" si="12"/>
        <v>0.007533102665830438</v>
      </c>
      <c r="P44" s="33">
        <f t="shared" si="12"/>
        <v>0</v>
      </c>
    </row>
    <row r="45" spans="1:16" ht="11.25">
      <c r="A45" s="4" t="s">
        <v>38</v>
      </c>
      <c r="B45" s="4"/>
      <c r="C45" s="32">
        <v>0</v>
      </c>
      <c r="D45" s="32">
        <v>0</v>
      </c>
      <c r="E45" s="33">
        <f>E43/E42</f>
        <v>0.9774436090225563</v>
      </c>
      <c r="F45" s="34">
        <f>F43/F42</f>
        <v>0.6568206229860365</v>
      </c>
      <c r="G45" s="32">
        <f>G43/G42</f>
        <v>0.9685466377440347</v>
      </c>
      <c r="H45" s="32">
        <f>H43/H42</f>
        <v>0.7346444349437081</v>
      </c>
      <c r="I45" s="32">
        <v>0</v>
      </c>
      <c r="J45" s="33">
        <v>0</v>
      </c>
      <c r="K45" s="35">
        <f>+K43/K42</f>
        <v>1.0214231063504209</v>
      </c>
      <c r="L45" s="33">
        <f>+L43/L42</f>
        <v>1.0214231063504209</v>
      </c>
      <c r="M45" s="33">
        <f>+M43/M42</f>
        <v>0.7507507507507507</v>
      </c>
      <c r="N45" s="33">
        <f>+N43/N42</f>
        <v>0.7369196757553427</v>
      </c>
      <c r="O45" s="33">
        <f>+O43/O42</f>
        <v>0.6236357966947302</v>
      </c>
      <c r="P45" s="33">
        <v>0</v>
      </c>
    </row>
    <row r="46" spans="1:16" ht="11.25">
      <c r="A46" s="3" t="s">
        <v>39</v>
      </c>
      <c r="B46" s="3"/>
      <c r="C46" s="36">
        <v>0</v>
      </c>
      <c r="D46" s="36">
        <f aca="true" t="shared" si="13" ref="D46:I46">D43/D12</f>
        <v>0</v>
      </c>
      <c r="E46" s="36">
        <f t="shared" si="13"/>
        <v>0.015073712108663243</v>
      </c>
      <c r="F46" s="37">
        <f t="shared" si="13"/>
        <v>0.009848078161906807</v>
      </c>
      <c r="G46" s="36">
        <f t="shared" si="13"/>
        <v>0.01507253552229233</v>
      </c>
      <c r="H46" s="36">
        <f t="shared" si="13"/>
        <v>0.013543086983136164</v>
      </c>
      <c r="I46" s="36">
        <f t="shared" si="13"/>
        <v>0.016285358656987065</v>
      </c>
      <c r="J46" s="38">
        <f>+J43/J12</f>
        <v>0.01654890943525449</v>
      </c>
      <c r="K46" s="39">
        <f>2670/K12</f>
        <v>0.007974457841400877</v>
      </c>
      <c r="L46" s="36">
        <f>2670/L12</f>
        <v>0.006863241557827309</v>
      </c>
      <c r="M46" s="36">
        <f>2000/M12</f>
        <v>0.005207140030409698</v>
      </c>
      <c r="N46" s="36">
        <f>2000/N12</f>
        <v>0.004872688822782744</v>
      </c>
      <c r="O46" s="36">
        <f>2000/O12</f>
        <v>0.004697912482588362</v>
      </c>
      <c r="P46" s="36">
        <f>0/P12</f>
        <v>0</v>
      </c>
    </row>
    <row r="47" spans="1:16" ht="11.25">
      <c r="A47" s="11" t="s">
        <v>40</v>
      </c>
      <c r="E47" s="18"/>
      <c r="F47" s="26"/>
      <c r="G47" s="5"/>
      <c r="H47" s="5"/>
      <c r="I47" s="5"/>
      <c r="J47" s="40"/>
      <c r="K47" s="31"/>
      <c r="L47" s="5"/>
      <c r="M47" s="5"/>
      <c r="N47" s="4"/>
      <c r="O47" s="5"/>
      <c r="P47" s="5"/>
    </row>
    <row r="48" spans="1:16" ht="11.25">
      <c r="A48" s="2" t="s">
        <v>41</v>
      </c>
      <c r="C48" s="33">
        <v>0</v>
      </c>
      <c r="D48" s="33">
        <f>+D25/D12</f>
        <v>0.02869346136880323</v>
      </c>
      <c r="E48" s="33">
        <f>+E25/E12</f>
        <v>0.021285406658936558</v>
      </c>
      <c r="F48" s="34">
        <f aca="true" t="shared" si="14" ref="F48:P48">F25/F12</f>
        <v>0.028730942666952974</v>
      </c>
      <c r="G48" s="33">
        <f t="shared" si="14"/>
        <v>0.01964099347081841</v>
      </c>
      <c r="H48" s="33">
        <f t="shared" si="14"/>
        <v>0.012544760493593633</v>
      </c>
      <c r="I48" s="33">
        <f t="shared" si="14"/>
        <v>0.010289313898313652</v>
      </c>
      <c r="J48" s="34">
        <f t="shared" si="14"/>
        <v>0.008026360847292982</v>
      </c>
      <c r="K48" s="35">
        <f t="shared" si="14"/>
        <v>0.029962457327690484</v>
      </c>
      <c r="L48" s="33">
        <f t="shared" si="14"/>
        <v>0.021674476709962497</v>
      </c>
      <c r="M48" s="33">
        <f t="shared" si="14"/>
        <v>0.017131490700047904</v>
      </c>
      <c r="N48" s="33">
        <f t="shared" si="14"/>
        <v>0.012598336951304785</v>
      </c>
      <c r="O48" s="33">
        <f t="shared" si="14"/>
        <v>0.021629189069836817</v>
      </c>
      <c r="P48" s="33">
        <f t="shared" si="14"/>
        <v>0.021699129252890238</v>
      </c>
    </row>
    <row r="49" spans="1:16" ht="11.25">
      <c r="A49" s="3" t="s">
        <v>42</v>
      </c>
      <c r="B49" s="3"/>
      <c r="C49" s="36">
        <v>0</v>
      </c>
      <c r="D49" s="36">
        <f aca="true" t="shared" si="15" ref="D49:P49">D25/(D12+D15)</f>
        <v>0.027525959441424434</v>
      </c>
      <c r="E49" s="36">
        <f t="shared" si="15"/>
        <v>0.02066924384346064</v>
      </c>
      <c r="F49" s="37">
        <f t="shared" si="15"/>
        <v>0.02791723936476805</v>
      </c>
      <c r="G49" s="36">
        <f t="shared" si="15"/>
        <v>0.01905879783807392</v>
      </c>
      <c r="H49" s="36">
        <f t="shared" si="15"/>
        <v>0.012514512903707703</v>
      </c>
      <c r="I49" s="36">
        <f t="shared" si="15"/>
        <v>0.010259495624673189</v>
      </c>
      <c r="J49" s="37">
        <f t="shared" si="15"/>
        <v>0.008000640887210817</v>
      </c>
      <c r="K49" s="39">
        <f t="shared" si="15"/>
        <v>0.02987492555092317</v>
      </c>
      <c r="L49" s="36">
        <f t="shared" si="15"/>
        <v>0.021619958462603523</v>
      </c>
      <c r="M49" s="36">
        <f t="shared" si="15"/>
        <v>0.01699279226698827</v>
      </c>
      <c r="N49" s="36">
        <f t="shared" si="15"/>
        <v>0.012497854990078574</v>
      </c>
      <c r="O49" s="36">
        <f t="shared" si="15"/>
        <v>0.02144702180338522</v>
      </c>
      <c r="P49" s="36">
        <f t="shared" si="15"/>
        <v>0.021564293321783227</v>
      </c>
    </row>
    <row r="50" spans="1:14" ht="11.25">
      <c r="A50" s="11" t="s">
        <v>43</v>
      </c>
      <c r="C50" s="18"/>
      <c r="D50" s="18"/>
      <c r="E50" s="18"/>
      <c r="F50" s="26"/>
      <c r="K50" s="29"/>
      <c r="L50" s="4"/>
      <c r="M50" s="4"/>
      <c r="N50" s="4"/>
    </row>
    <row r="51" spans="1:16" ht="11.25">
      <c r="A51" s="2" t="s">
        <v>44</v>
      </c>
      <c r="C51" s="33">
        <v>0</v>
      </c>
      <c r="D51" s="33">
        <f aca="true" t="shared" si="16" ref="D51:P51">D11/D16</f>
        <v>0.052476995422518706</v>
      </c>
      <c r="E51" s="33">
        <f t="shared" si="16"/>
        <v>0.3726308633113387</v>
      </c>
      <c r="F51" s="41">
        <f t="shared" si="16"/>
        <v>0.5381484443278065</v>
      </c>
      <c r="G51" s="42">
        <f t="shared" si="16"/>
        <v>0.31621608671068646</v>
      </c>
      <c r="H51" s="42">
        <f t="shared" si="16"/>
        <v>0.4539547766471777</v>
      </c>
      <c r="I51" s="42">
        <f t="shared" si="16"/>
        <v>0.1971993943237262</v>
      </c>
      <c r="J51" s="32">
        <f t="shared" si="16"/>
        <v>0.6351815010980494</v>
      </c>
      <c r="K51" s="35">
        <f t="shared" si="16"/>
        <v>0.5936678267352867</v>
      </c>
      <c r="L51" s="33">
        <f t="shared" si="16"/>
        <v>0.4229400058070604</v>
      </c>
      <c r="M51" s="33">
        <f t="shared" si="16"/>
        <v>0.4690265277316015</v>
      </c>
      <c r="N51" s="33">
        <f t="shared" si="16"/>
        <v>0.6051144266454979</v>
      </c>
      <c r="O51" s="32">
        <f t="shared" si="16"/>
        <v>0.55760538891519</v>
      </c>
      <c r="P51" s="32">
        <f t="shared" si="16"/>
        <v>0.36980758545504216</v>
      </c>
    </row>
    <row r="52" spans="1:16" ht="11.25">
      <c r="A52" s="2" t="s">
        <v>45</v>
      </c>
      <c r="C52" s="33">
        <f aca="true" t="shared" si="17" ref="C52:P52">C11/C10</f>
        <v>0.941747572815534</v>
      </c>
      <c r="D52" s="33">
        <f t="shared" si="17"/>
        <v>0.05080099666141113</v>
      </c>
      <c r="E52" s="33">
        <f t="shared" si="17"/>
        <v>0.36216831746266004</v>
      </c>
      <c r="F52" s="41">
        <f t="shared" si="17"/>
        <v>0.5260791116607834</v>
      </c>
      <c r="G52" s="42">
        <f t="shared" si="17"/>
        <v>0.3073679935314874</v>
      </c>
      <c r="H52" s="42">
        <f t="shared" si="17"/>
        <v>0.4426548137500677</v>
      </c>
      <c r="I52" s="42">
        <f t="shared" si="17"/>
        <v>0.1903751680434989</v>
      </c>
      <c r="J52" s="32">
        <f t="shared" si="17"/>
        <v>0.6206173179210013</v>
      </c>
      <c r="K52" s="35">
        <f t="shared" si="17"/>
        <v>0.5763669685549563</v>
      </c>
      <c r="L52" s="33">
        <f t="shared" si="17"/>
        <v>0.4104345095184705</v>
      </c>
      <c r="M52" s="33">
        <f t="shared" si="17"/>
        <v>0.49958978430594153</v>
      </c>
      <c r="N52" s="33">
        <f t="shared" si="17"/>
        <v>0.5938132523702994</v>
      </c>
      <c r="O52" s="32">
        <f t="shared" si="17"/>
        <v>0.5440965662391037</v>
      </c>
      <c r="P52" s="32">
        <f t="shared" si="17"/>
        <v>0.3606786551890873</v>
      </c>
    </row>
    <row r="53" spans="1:16" ht="11.25">
      <c r="A53" s="3" t="s">
        <v>46</v>
      </c>
      <c r="B53" s="3"/>
      <c r="C53" s="36">
        <v>0</v>
      </c>
      <c r="D53" s="36">
        <f aca="true" t="shared" si="18" ref="D53:P53">(D11+D15)/D16</f>
        <v>0.09153400303082379</v>
      </c>
      <c r="E53" s="36">
        <f t="shared" si="18"/>
        <v>0.3912630104083267</v>
      </c>
      <c r="F53" s="43">
        <f t="shared" si="18"/>
        <v>0.5515908286272403</v>
      </c>
      <c r="G53" s="44">
        <f t="shared" si="18"/>
        <v>0.3370293348155673</v>
      </c>
      <c r="H53" s="44">
        <f t="shared" si="18"/>
        <v>0.4553001874800748</v>
      </c>
      <c r="I53" s="44">
        <f t="shared" si="18"/>
        <v>0.19958068565660225</v>
      </c>
      <c r="J53" s="36">
        <f t="shared" si="18"/>
        <v>0.6363699780390131</v>
      </c>
      <c r="K53" s="39">
        <f t="shared" si="18"/>
        <v>0.5948950308865143</v>
      </c>
      <c r="L53" s="36">
        <f t="shared" si="18"/>
        <v>0.4244235282731254</v>
      </c>
      <c r="M53" s="36">
        <f t="shared" si="18"/>
        <v>0.47273574848761996</v>
      </c>
      <c r="N53" s="36">
        <f t="shared" si="18"/>
        <v>0.6083130029882458</v>
      </c>
      <c r="O53" s="36">
        <f t="shared" si="18"/>
        <v>0.5614436959840013</v>
      </c>
      <c r="P53" s="36">
        <f t="shared" si="18"/>
        <v>0.3737872386350127</v>
      </c>
    </row>
    <row r="54" spans="1:14" ht="11.25">
      <c r="A54" s="11" t="s">
        <v>47</v>
      </c>
      <c r="D54" s="18"/>
      <c r="E54" s="18"/>
      <c r="F54" s="26"/>
      <c r="K54" s="29"/>
      <c r="L54" s="4"/>
      <c r="M54" s="4"/>
      <c r="N54" s="4"/>
    </row>
    <row r="55" spans="1:16" ht="11.25">
      <c r="A55" s="2" t="s">
        <v>48</v>
      </c>
      <c r="B55" s="4"/>
      <c r="C55" s="33">
        <f>((C40)/0.25)/C28</f>
        <v>0.03701479499918109</v>
      </c>
      <c r="D55" s="33">
        <f>(D40/0.75)/D28</f>
        <v>0.016004463396166263</v>
      </c>
      <c r="E55" s="33">
        <f>(E40/0.5)/E28</f>
        <v>0.027285366701425097</v>
      </c>
      <c r="F55" s="34">
        <f>((F40)/0.25)/F28</f>
        <v>0.04441919045041095</v>
      </c>
      <c r="G55" s="45">
        <f>G40/G28</f>
        <v>0.011345315748995926</v>
      </c>
      <c r="H55" s="45">
        <f>(H40/0.75)/H28</f>
        <v>0.006134701631009793</v>
      </c>
      <c r="I55" s="32">
        <f>(I40/0.5)/I28</f>
        <v>0.001458807836125361</v>
      </c>
      <c r="J55" s="32">
        <f>((J40)/0.25)/J28</f>
        <v>-0.008024507278987177</v>
      </c>
      <c r="K55" s="46">
        <f>K40/K28</f>
        <v>0.018383635871745845</v>
      </c>
      <c r="L55" s="45">
        <f>(L40/0.75)/L28</f>
        <v>0.014057288886732335</v>
      </c>
      <c r="M55" s="45">
        <f>(M40/0.5)/M28</f>
        <v>0.017457341566409365</v>
      </c>
      <c r="N55" s="33">
        <f>((N40)/0.25)/N28</f>
        <v>0.01408986990850334</v>
      </c>
      <c r="O55" s="32">
        <f>O40/O28</f>
        <v>0.010320238601897846</v>
      </c>
      <c r="P55" s="32">
        <f>P40/P28</f>
        <v>0.01636421747145911</v>
      </c>
    </row>
    <row r="56" spans="1:16" ht="11.25">
      <c r="A56" s="2" t="s">
        <v>49</v>
      </c>
      <c r="B56" s="4"/>
      <c r="C56" s="33">
        <f>((C40)/0.25)/C27</f>
        <v>0.025041921210285655</v>
      </c>
      <c r="D56" s="33">
        <f>(D40/0.75)/D27</f>
        <v>0.010396119058343558</v>
      </c>
      <c r="E56" s="33">
        <f>(E40/0.5)/E27</f>
        <v>0.018906702847646496</v>
      </c>
      <c r="F56" s="34">
        <f>((F40)/0.25)/F27</f>
        <v>0.018400894096626937</v>
      </c>
      <c r="G56" s="45">
        <f>G40/G27</f>
        <v>0.00585680601884971</v>
      </c>
      <c r="H56" s="45">
        <f>(H40/0.75)/H27</f>
        <v>0.0034233183912717913</v>
      </c>
      <c r="I56" s="32">
        <f>(I40/0.5)/I27</f>
        <v>0.0008612030537523069</v>
      </c>
      <c r="J56" s="32">
        <f>((J40)/0.25)/J27</f>
        <v>-0.0030505367187203367</v>
      </c>
      <c r="K56" s="46">
        <f>K40/K27</f>
        <v>0.007863174282847312</v>
      </c>
      <c r="L56" s="45">
        <f>(L40/0.75)/L27</f>
        <v>0.009360667447296703</v>
      </c>
      <c r="M56" s="45">
        <f>(M40/0.5)/M27</f>
        <v>0.00926291640055128</v>
      </c>
      <c r="N56" s="33">
        <f>((N40)/0.25)/N27</f>
        <v>0.007603671727037279</v>
      </c>
      <c r="O56" s="32">
        <f>O40/O27</f>
        <v>0.005624508371212052</v>
      </c>
      <c r="P56" s="32">
        <f>P40/P27</f>
        <v>0.01152515309947328</v>
      </c>
    </row>
    <row r="57" spans="1:16" ht="11.25">
      <c r="A57" s="2" t="s">
        <v>50</v>
      </c>
      <c r="B57" s="4"/>
      <c r="C57" s="33">
        <f>((C40)/0.25)/C31</f>
        <v>1.1612571722188918</v>
      </c>
      <c r="D57" s="33">
        <f>(D40/0.75)/D31</f>
        <v>0.8700173310225303</v>
      </c>
      <c r="E57" s="33">
        <f>(E40/0.5)/E31</f>
        <v>1.7178809154736938</v>
      </c>
      <c r="F57" s="34">
        <f>((F40)/0.25)/F31</f>
        <v>2.290900699946158</v>
      </c>
      <c r="G57" s="45">
        <f>+G40/G31</f>
        <v>0.46820265663571176</v>
      </c>
      <c r="H57" s="45">
        <f>(H40/0.75)/H31</f>
        <v>0.35839580020696093</v>
      </c>
      <c r="I57" s="32">
        <f>(I40/0.5)/I31</f>
        <v>0.1045034055098099</v>
      </c>
      <c r="J57" s="32">
        <f>((J40)/0.25)/J31</f>
        <v>-0.7530798071772897</v>
      </c>
      <c r="K57" s="46">
        <f>+K40/K31</f>
        <v>0.731081081081081</v>
      </c>
      <c r="L57" s="45">
        <f>(L40/0.75)/L31</f>
        <v>0.9616499590608334</v>
      </c>
      <c r="M57" s="45">
        <f>(M40/0.5)/M31</f>
        <v>1.6181301036792366</v>
      </c>
      <c r="N57" s="33">
        <f>((N40)/0.25)/N31</f>
        <v>1.573651827723489</v>
      </c>
      <c r="O57" s="32">
        <f>O40/O31</f>
        <v>0.4795216507738002</v>
      </c>
      <c r="P57" s="32">
        <f>P40/P31</f>
        <v>0.9318303473031266</v>
      </c>
    </row>
    <row r="58" spans="1:16" ht="11.25">
      <c r="A58" s="2" t="s">
        <v>51</v>
      </c>
      <c r="B58" s="4"/>
      <c r="C58" s="33">
        <f>((C33)/0.25)/C28</f>
        <v>0.342326800240214</v>
      </c>
      <c r="D58" s="33">
        <f>(D33/0.75)/D28</f>
        <v>0.061709640138684095</v>
      </c>
      <c r="E58" s="33">
        <f>(E33/0.5)/E28</f>
        <v>0.06693894102653226</v>
      </c>
      <c r="F58" s="34">
        <f>((F33)/0.25)/F28</f>
        <v>0.0718605382978311</v>
      </c>
      <c r="G58" s="45">
        <f>G33/G28</f>
        <v>0.10120203947930612</v>
      </c>
      <c r="H58" s="45">
        <f>(H33/0.75)/H28</f>
        <v>0.10167706325784627</v>
      </c>
      <c r="I58" s="32">
        <f>(I33/0.5)/I28</f>
        <v>0.12559370498875383</v>
      </c>
      <c r="J58" s="32">
        <f>((J33)/0.25)/J28</f>
        <v>0.15373266576585962</v>
      </c>
      <c r="K58" s="46">
        <f>K33/K28</f>
        <v>0.14851980756387417</v>
      </c>
      <c r="L58" s="45">
        <f>(L33/0.75)/L28</f>
        <v>0.10841088844679508</v>
      </c>
      <c r="M58" s="45">
        <f>(M33/0.5)/M28</f>
        <v>0.1195485402391921</v>
      </c>
      <c r="N58" s="33">
        <f>((N33)/0.25)/N28</f>
        <v>0.11002282960752194</v>
      </c>
      <c r="O58" s="32">
        <f>O33/O28</f>
        <v>0.11764735568067315</v>
      </c>
      <c r="P58" s="32">
        <f>P33/P27</f>
        <v>0.0819191712669529</v>
      </c>
    </row>
    <row r="59" spans="1:16" ht="11.25">
      <c r="A59" s="2" t="s">
        <v>52</v>
      </c>
      <c r="B59" s="4"/>
      <c r="C59" s="33">
        <f>((C34)/0.25)/C28</f>
        <v>0.20352677840257685</v>
      </c>
      <c r="D59" s="33">
        <f>(D34/0.75)/D28</f>
        <v>0.037105700128853995</v>
      </c>
      <c r="E59" s="33">
        <f>(E34/0.5)/E28</f>
        <v>0.041466805700382345</v>
      </c>
      <c r="F59" s="34">
        <f>((F34)/0.25)/F28</f>
        <v>0.04513505169860452</v>
      </c>
      <c r="G59" s="45">
        <f>G34/G28</f>
        <v>0.08124590537499644</v>
      </c>
      <c r="H59" s="45">
        <f>(H34/0.75)/H28</f>
        <v>0.08481786632485146</v>
      </c>
      <c r="I59" s="32">
        <f>(I34/0.5)/I28</f>
        <v>0.10678246308634354</v>
      </c>
      <c r="J59" s="32">
        <f>((J34)/0.25)/J28</f>
        <v>0.1338483248270322</v>
      </c>
      <c r="K59" s="46">
        <f>K34/K28</f>
        <v>0.12738633734873625</v>
      </c>
      <c r="L59" s="45">
        <f>(L34/0.75)/L28</f>
        <v>0.09242305141766542</v>
      </c>
      <c r="M59" s="45">
        <f>(M34/0.5)/M28</f>
        <v>0.1026059309031373</v>
      </c>
      <c r="N59" s="33">
        <f>((N34)/0.25)/N28</f>
        <v>0.0954922461968207</v>
      </c>
      <c r="O59" s="32">
        <f>O34/O28</f>
        <v>0.09764611085971708</v>
      </c>
      <c r="P59" s="32">
        <f>P34/P27</f>
        <v>0.06978570941768651</v>
      </c>
    </row>
    <row r="60" spans="1:16" ht="11.25">
      <c r="A60" s="2" t="s">
        <v>53</v>
      </c>
      <c r="B60" s="4"/>
      <c r="C60" s="33">
        <f>((C35)/0.25)/C28</f>
        <v>0.13880002183763718</v>
      </c>
      <c r="D60" s="33">
        <f>(D35/0.75)/D28</f>
        <v>0.024603940009830096</v>
      </c>
      <c r="E60" s="33">
        <f>(E35/0.5)/E28</f>
        <v>0.025472135326149923</v>
      </c>
      <c r="F60" s="34">
        <f>((F35)/0.25)/F28</f>
        <v>0.02672548659922657</v>
      </c>
      <c r="G60" s="45">
        <f>G35/G28</f>
        <v>0.019956134104309683</v>
      </c>
      <c r="H60" s="45">
        <f>(H35/0.75)/H28</f>
        <v>0.016859196932994803</v>
      </c>
      <c r="I60" s="32">
        <f>(I35/0.5)/I28</f>
        <v>0.018811241902410295</v>
      </c>
      <c r="J60" s="32">
        <f>((J35)/0.25)/J28</f>
        <v>0.0198843409388274</v>
      </c>
      <c r="K60" s="46">
        <f>K35/K28</f>
        <v>0.021133470215137944</v>
      </c>
      <c r="L60" s="45">
        <f>(L35/0.75)/L28</f>
        <v>0.01598783702912967</v>
      </c>
      <c r="M60" s="45">
        <f>(M35/0.5)/M28</f>
        <v>0.016942609336054817</v>
      </c>
      <c r="N60" s="33">
        <f>((N35)/0.25)/N28</f>
        <v>0.014530583410701237</v>
      </c>
      <c r="O60" s="32">
        <f>O35/O28</f>
        <v>0.020001244820956054</v>
      </c>
      <c r="P60" s="32">
        <f>P35/P27</f>
        <v>0.012133461849266388</v>
      </c>
    </row>
    <row r="61" spans="1:16" ht="11.25">
      <c r="A61" s="2" t="s">
        <v>54</v>
      </c>
      <c r="B61" s="4"/>
      <c r="C61" s="33">
        <f>(C38/0.25)/(C37/0.25)</f>
        <v>0.14077445232952793</v>
      </c>
      <c r="D61" s="33">
        <f>(D38/0.75)/(D37/0.75)</f>
        <v>0.11422501838385489</v>
      </c>
      <c r="E61" s="33">
        <f>(E38/0.5)/(E37/0.5)</f>
        <v>0.09959239130434783</v>
      </c>
      <c r="F61" s="34">
        <f>(F38/0.25)/(F37/0.25)</f>
        <v>0.09090909090909091</v>
      </c>
      <c r="G61" s="45">
        <f>G38/G37</f>
        <v>0.14820454257073976</v>
      </c>
      <c r="H61" s="45">
        <f>(H38/0.75)/(H37/0.75)</f>
        <v>0.16858095590959615</v>
      </c>
      <c r="I61" s="32">
        <f>(I38/0.5)/(I37/0.5)</f>
        <v>0.17468354430379746</v>
      </c>
      <c r="J61" s="32">
        <f>(J38/0.25)/(J37/0.25)</f>
        <v>0.16979051819184124</v>
      </c>
      <c r="K61" s="46">
        <f>K38/K37</f>
        <v>0.1318206374932469</v>
      </c>
      <c r="L61" s="45">
        <f>(L38/0.75)/(L37/0.75)</f>
        <v>0.13253509496284063</v>
      </c>
      <c r="M61" s="45">
        <f>(M38/0.5)/(M37/0.5)</f>
        <v>0.1339964891749561</v>
      </c>
      <c r="N61" s="33">
        <f>(N38/0.25)/(N37/0.25)</f>
        <v>0.14494470774091628</v>
      </c>
      <c r="O61" s="32">
        <f>O38/O37</f>
        <v>0.11145560060418157</v>
      </c>
      <c r="P61" s="32">
        <f>P38/P37</f>
        <v>0.1211545314170329</v>
      </c>
    </row>
    <row r="62" spans="1:16" ht="11.25">
      <c r="A62" s="3" t="s">
        <v>55</v>
      </c>
      <c r="B62" s="3"/>
      <c r="C62" s="36">
        <f>(C36/0.25)/C28</f>
        <v>0.1443031064038871</v>
      </c>
      <c r="D62" s="36">
        <f>(D36/0.75)/D28</f>
        <v>0.027422255874812368</v>
      </c>
      <c r="E62" s="36">
        <f>(E36/0.5)/E28</f>
        <v>0.01716487081450585</v>
      </c>
      <c r="F62" s="37">
        <f>(F36/0.25)/F28</f>
        <v>0.02248997421408129</v>
      </c>
      <c r="G62" s="38">
        <f>G36/G28</f>
        <v>0.002492380436949896</v>
      </c>
      <c r="H62" s="38">
        <f>(H36/0.75)/H28</f>
        <v>0.0017972083651408973</v>
      </c>
      <c r="I62" s="36">
        <f>(I36/0.5)/I28</f>
        <v>0.0013679871148101633</v>
      </c>
      <c r="J62" s="36">
        <f>(J36/0.25)/J28</f>
        <v>0.0008218556530399384</v>
      </c>
      <c r="K62" s="47">
        <f>K36/K28</f>
        <v>0.0030582758381832273</v>
      </c>
      <c r="L62" s="38">
        <f>(L36/0.75)/L28</f>
        <v>0.002815598363174665</v>
      </c>
      <c r="M62" s="38">
        <f>(M36/0.5)/M28</f>
        <v>0.00335763793338969</v>
      </c>
      <c r="N62" s="36">
        <f>(N36/0.25)/N28</f>
        <v>0.0018795134652557354</v>
      </c>
      <c r="O62" s="36">
        <f>O36/O28</f>
        <v>0.001159029241517134</v>
      </c>
      <c r="P62" s="36">
        <f>P36/P27</f>
        <v>0.0009813943978736455</v>
      </c>
    </row>
    <row r="63" spans="1:14" ht="11.25">
      <c r="A63" s="11" t="s">
        <v>56</v>
      </c>
      <c r="E63" s="18"/>
      <c r="F63" s="26"/>
      <c r="K63" s="29"/>
      <c r="L63" s="4"/>
      <c r="M63" s="4"/>
      <c r="N63" s="4"/>
    </row>
    <row r="64" spans="1:16" ht="11.25">
      <c r="A64" s="2" t="s">
        <v>57</v>
      </c>
      <c r="C64" s="2">
        <v>6</v>
      </c>
      <c r="D64" s="17">
        <v>11</v>
      </c>
      <c r="E64" s="18">
        <v>12</v>
      </c>
      <c r="F64" s="26">
        <v>12</v>
      </c>
      <c r="G64" s="2">
        <v>11</v>
      </c>
      <c r="H64" s="17">
        <v>12</v>
      </c>
      <c r="I64" s="17">
        <v>15</v>
      </c>
      <c r="J64" s="17">
        <f>15+1</f>
        <v>16</v>
      </c>
      <c r="K64" s="20">
        <f>16+1</f>
        <v>17</v>
      </c>
      <c r="L64" s="18">
        <f>14+1</f>
        <v>15</v>
      </c>
      <c r="M64" s="18">
        <v>15</v>
      </c>
      <c r="N64" s="18">
        <v>16</v>
      </c>
      <c r="O64" s="17">
        <v>16</v>
      </c>
      <c r="P64" s="17">
        <v>19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6">
        <v>1</v>
      </c>
      <c r="G65" s="2">
        <v>1</v>
      </c>
      <c r="H65" s="17">
        <v>1</v>
      </c>
      <c r="I65" s="17">
        <v>1</v>
      </c>
      <c r="J65" s="17">
        <v>1</v>
      </c>
      <c r="K65" s="20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19" ref="C66:P66">C12/C64</f>
        <v>0</v>
      </c>
      <c r="D66" s="18">
        <f t="shared" si="19"/>
        <v>21433.454545454544</v>
      </c>
      <c r="E66" s="18">
        <f t="shared" si="19"/>
        <v>30185</v>
      </c>
      <c r="F66" s="19">
        <f t="shared" si="19"/>
        <v>31046.666666666668</v>
      </c>
      <c r="G66" s="17">
        <f t="shared" si="19"/>
        <v>32316.454545454544</v>
      </c>
      <c r="H66" s="17">
        <f t="shared" si="19"/>
        <v>31719.75</v>
      </c>
      <c r="I66" s="17">
        <f t="shared" si="19"/>
        <v>21102.8</v>
      </c>
      <c r="J66" s="17">
        <f t="shared" si="19"/>
        <v>17886.375</v>
      </c>
      <c r="K66" s="20">
        <f t="shared" si="19"/>
        <v>19695.235294117647</v>
      </c>
      <c r="L66" s="18">
        <f t="shared" si="19"/>
        <v>25935.266666666666</v>
      </c>
      <c r="M66" s="18">
        <f t="shared" si="19"/>
        <v>25605.866666666665</v>
      </c>
      <c r="N66" s="18">
        <f t="shared" si="19"/>
        <v>25653.1875</v>
      </c>
      <c r="O66" s="17">
        <f t="shared" si="19"/>
        <v>26607.5625</v>
      </c>
      <c r="P66" s="17">
        <f t="shared" si="19"/>
        <v>39729.94736842105</v>
      </c>
    </row>
    <row r="67" spans="1:16" ht="11.25">
      <c r="A67" s="2" t="s">
        <v>60</v>
      </c>
      <c r="C67" s="18">
        <f aca="true" t="shared" si="20" ref="C67:P67">+C16/C64</f>
        <v>0</v>
      </c>
      <c r="D67" s="18">
        <f t="shared" si="20"/>
        <v>23276</v>
      </c>
      <c r="E67" s="18">
        <f t="shared" si="20"/>
        <v>48294.666666666664</v>
      </c>
      <c r="F67" s="19">
        <f t="shared" si="20"/>
        <v>67318.16666666667</v>
      </c>
      <c r="G67" s="17">
        <f t="shared" si="20"/>
        <v>47430.454545454544</v>
      </c>
      <c r="H67" s="17">
        <f t="shared" si="20"/>
        <v>56983.833333333336</v>
      </c>
      <c r="I67" s="17">
        <f t="shared" si="20"/>
        <v>25756.333333333332</v>
      </c>
      <c r="J67" s="17">
        <f t="shared" si="20"/>
        <v>48381.25</v>
      </c>
      <c r="K67" s="20">
        <f t="shared" si="20"/>
        <v>47022.23529411765</v>
      </c>
      <c r="L67" s="18">
        <f t="shared" si="20"/>
        <v>44084.26666666667</v>
      </c>
      <c r="M67" s="18">
        <f t="shared" si="20"/>
        <v>56346.066666666666</v>
      </c>
      <c r="N67" s="18">
        <f t="shared" si="20"/>
        <v>64481.8125</v>
      </c>
      <c r="O67" s="17">
        <f t="shared" si="20"/>
        <v>58880.125</v>
      </c>
      <c r="P67" s="17">
        <f t="shared" si="20"/>
        <v>62422.78947368421</v>
      </c>
    </row>
    <row r="68" spans="1:16" ht="11.25">
      <c r="A68" s="3" t="s">
        <v>61</v>
      </c>
      <c r="B68" s="3"/>
      <c r="C68" s="24">
        <f aca="true" t="shared" si="21" ref="C68:P68">+C40/C64</f>
        <v>282.5</v>
      </c>
      <c r="D68" s="24">
        <f t="shared" si="21"/>
        <v>342.27272727272725</v>
      </c>
      <c r="E68" s="24">
        <f t="shared" si="21"/>
        <v>392.5</v>
      </c>
      <c r="F68" s="27">
        <f t="shared" si="21"/>
        <v>310.25</v>
      </c>
      <c r="G68" s="24">
        <f t="shared" si="21"/>
        <v>362.09090909090907</v>
      </c>
      <c r="H68" s="24">
        <f t="shared" si="21"/>
        <v>147.91666666666666</v>
      </c>
      <c r="I68" s="24">
        <f t="shared" si="21"/>
        <v>17.133333333333333</v>
      </c>
      <c r="J68" s="24">
        <f t="shared" si="21"/>
        <v>-43.9375</v>
      </c>
      <c r="K68" s="25">
        <f t="shared" si="21"/>
        <v>413.70588235294116</v>
      </c>
      <c r="L68" s="24">
        <f t="shared" si="21"/>
        <v>362.1333333333333</v>
      </c>
      <c r="M68" s="24">
        <f t="shared" si="21"/>
        <v>293.93333333333334</v>
      </c>
      <c r="N68" s="24">
        <f t="shared" si="21"/>
        <v>135.875</v>
      </c>
      <c r="O68" s="24">
        <f t="shared" si="21"/>
        <v>383.4375</v>
      </c>
      <c r="P68" s="24">
        <f t="shared" si="21"/>
        <v>778.7894736842105</v>
      </c>
    </row>
    <row r="69" spans="1:14" ht="11.25">
      <c r="A69" s="11" t="s">
        <v>62</v>
      </c>
      <c r="E69" s="18"/>
      <c r="F69" s="26"/>
      <c r="K69" s="29"/>
      <c r="L69" s="4"/>
      <c r="M69" s="4"/>
      <c r="N69" s="4"/>
    </row>
    <row r="70" spans="1:16" ht="11.25">
      <c r="A70" s="2" t="s">
        <v>63</v>
      </c>
      <c r="C70" s="45">
        <f aca="true" t="shared" si="22" ref="C70:I70">(C10/G10)-1</f>
        <v>-0.9911728650368697</v>
      </c>
      <c r="D70" s="33">
        <f t="shared" si="22"/>
        <v>-0.6228470956646731</v>
      </c>
      <c r="E70" s="33">
        <f t="shared" si="22"/>
        <v>0.48997236340374917</v>
      </c>
      <c r="F70" s="34">
        <f t="shared" si="22"/>
        <v>0.04302216679751503</v>
      </c>
      <c r="G70" s="32">
        <f t="shared" si="22"/>
        <v>-0.3481034719379916</v>
      </c>
      <c r="H70" s="32">
        <f t="shared" si="22"/>
        <v>0.029130687454873128</v>
      </c>
      <c r="I70" s="32">
        <f t="shared" si="22"/>
        <v>-0.49565020132705717</v>
      </c>
      <c r="J70" s="32">
        <f>+(J10/N10)-1</f>
        <v>-0.2464255277054893</v>
      </c>
      <c r="K70" s="35">
        <f>+(K10/O10)-1</f>
        <v>-0.14718086076033277</v>
      </c>
      <c r="L70" s="33">
        <f>+(L10/866056)-1</f>
        <v>-0.21320099393110836</v>
      </c>
      <c r="M70" s="33">
        <f>+(M10/1110451)-1</f>
        <v>-0.28543897929760076</v>
      </c>
      <c r="N70" s="33">
        <f>+(N10/1235972)-1</f>
        <v>-0.14937878851624475</v>
      </c>
      <c r="O70" s="32">
        <f>+(O10/P10)-1</f>
        <v>-0.206060267159628</v>
      </c>
      <c r="P70" s="32">
        <f>(P10/1351723)-1</f>
        <v>-0.10036893653507417</v>
      </c>
    </row>
    <row r="71" spans="1:16" ht="11.25">
      <c r="A71" s="2" t="s">
        <v>64</v>
      </c>
      <c r="C71" s="45">
        <f aca="true" t="shared" si="23" ref="C71:I71">(C12/G12)-1</f>
        <v>-1</v>
      </c>
      <c r="D71" s="33">
        <f t="shared" si="23"/>
        <v>-0.3805962110882547</v>
      </c>
      <c r="E71" s="33">
        <f t="shared" si="23"/>
        <v>0.14430312565157233</v>
      </c>
      <c r="F71" s="34">
        <f t="shared" si="23"/>
        <v>0.30182890608074575</v>
      </c>
      <c r="G71" s="32">
        <f t="shared" si="23"/>
        <v>0.06171095427678841</v>
      </c>
      <c r="H71" s="32">
        <f t="shared" si="23"/>
        <v>-0.021571656611717893</v>
      </c>
      <c r="I71" s="32">
        <f t="shared" si="23"/>
        <v>-0.1758607402470267</v>
      </c>
      <c r="J71" s="32">
        <f aca="true" t="shared" si="24" ref="J71:P71">SUM(J72:J73)</f>
        <v>-0.30276208365919444</v>
      </c>
      <c r="K71" s="35">
        <f t="shared" si="24"/>
        <v>-0.21352482024612363</v>
      </c>
      <c r="L71" s="33">
        <f t="shared" si="24"/>
        <v>-0.388879376295</v>
      </c>
      <c r="M71" s="33">
        <f t="shared" si="24"/>
        <v>-0.3793490151846902</v>
      </c>
      <c r="N71" s="33">
        <f t="shared" si="24"/>
        <v>-0.4971177301558325</v>
      </c>
      <c r="O71" s="32">
        <f t="shared" si="24"/>
        <v>-0.43603327199818775</v>
      </c>
      <c r="P71" s="32">
        <f t="shared" si="24"/>
        <v>-0.27633472307569895</v>
      </c>
    </row>
    <row r="72" spans="2:16" ht="11.25">
      <c r="B72" s="2" t="s">
        <v>15</v>
      </c>
      <c r="C72" s="45">
        <v>0</v>
      </c>
      <c r="D72" s="33">
        <v>0</v>
      </c>
      <c r="E72" s="33">
        <v>0</v>
      </c>
      <c r="F72" s="34">
        <v>0</v>
      </c>
      <c r="G72" s="32">
        <v>0</v>
      </c>
      <c r="H72" s="32">
        <v>0</v>
      </c>
      <c r="I72" s="32">
        <v>0</v>
      </c>
      <c r="J72" s="32">
        <v>0</v>
      </c>
      <c r="K72" s="35">
        <v>0</v>
      </c>
      <c r="L72" s="33">
        <v>0</v>
      </c>
      <c r="M72" s="33">
        <v>0</v>
      </c>
      <c r="N72" s="33">
        <v>0</v>
      </c>
      <c r="O72" s="32">
        <v>0</v>
      </c>
      <c r="P72" s="32">
        <v>0</v>
      </c>
    </row>
    <row r="73" spans="2:16" ht="11.25">
      <c r="B73" s="2" t="s">
        <v>16</v>
      </c>
      <c r="C73" s="45">
        <f aca="true" t="shared" si="25" ref="C73:I73">(C14/G14)-1</f>
        <v>-1</v>
      </c>
      <c r="D73" s="33">
        <f t="shared" si="25"/>
        <v>-0.3805962110882547</v>
      </c>
      <c r="E73" s="33">
        <f t="shared" si="25"/>
        <v>0.14430312565157233</v>
      </c>
      <c r="F73" s="34">
        <f t="shared" si="25"/>
        <v>0.30182890608074575</v>
      </c>
      <c r="G73" s="32">
        <f t="shared" si="25"/>
        <v>0.06171095427678841</v>
      </c>
      <c r="H73" s="32">
        <f t="shared" si="25"/>
        <v>-0.021571656611717893</v>
      </c>
      <c r="I73" s="32">
        <f t="shared" si="25"/>
        <v>-0.1758607402470267</v>
      </c>
      <c r="J73" s="32">
        <f>+(J14/N14)-1</f>
        <v>-0.30276208365919444</v>
      </c>
      <c r="K73" s="35">
        <f>+(K14/O14)-1</f>
        <v>-0.21352482024612363</v>
      </c>
      <c r="L73" s="33">
        <f>+(L14/636583)-1</f>
        <v>-0.388879376295</v>
      </c>
      <c r="M73" s="33">
        <f>+(M14/618847)-1</f>
        <v>-0.3793490151846902</v>
      </c>
      <c r="N73" s="33">
        <f>+(N14/816197)-1</f>
        <v>-0.4971177301558325</v>
      </c>
      <c r="O73" s="32">
        <f>+(O14/P14)-1</f>
        <v>-0.43603327199818775</v>
      </c>
      <c r="P73" s="32">
        <f>+(P14/1043119)-1</f>
        <v>-0.27633472307569895</v>
      </c>
    </row>
    <row r="74" spans="1:16" ht="11.25">
      <c r="A74" s="2" t="s">
        <v>65</v>
      </c>
      <c r="C74" s="45">
        <f aca="true" t="shared" si="26" ref="C74:I74">(C16/G16)-1</f>
        <v>-1</v>
      </c>
      <c r="D74" s="33">
        <f t="shared" si="26"/>
        <v>-0.625572165204751</v>
      </c>
      <c r="E74" s="33">
        <f t="shared" si="26"/>
        <v>0.5000478846626719</v>
      </c>
      <c r="F74" s="34">
        <f t="shared" si="26"/>
        <v>0.043557679886319534</v>
      </c>
      <c r="G74" s="32">
        <f t="shared" si="26"/>
        <v>-0.34732379425002935</v>
      </c>
      <c r="H74" s="32">
        <f t="shared" si="26"/>
        <v>0.03408925935783591</v>
      </c>
      <c r="I74" s="32">
        <f t="shared" si="26"/>
        <v>-0.5428903052682766</v>
      </c>
      <c r="J74" s="32">
        <f aca="true" t="shared" si="27" ref="J74:P74">SUM(J75:J76)</f>
        <v>-0.2496915312360365</v>
      </c>
      <c r="K74" s="35">
        <f t="shared" si="27"/>
        <v>-0.15147725994127903</v>
      </c>
      <c r="L74" s="33">
        <f t="shared" si="27"/>
        <v>-0.2156466433945502</v>
      </c>
      <c r="M74" s="33">
        <f t="shared" si="27"/>
        <v>-0.2243264177852503</v>
      </c>
      <c r="N74" s="33">
        <f t="shared" si="27"/>
        <v>-0.1509106007273613</v>
      </c>
      <c r="O74" s="32">
        <f t="shared" si="27"/>
        <v>-0.205686519683685</v>
      </c>
      <c r="P74" s="32">
        <f t="shared" si="27"/>
        <v>-0.10107473908397058</v>
      </c>
    </row>
    <row r="75" spans="2:16" ht="11.25">
      <c r="B75" s="2" t="s">
        <v>15</v>
      </c>
      <c r="C75" s="45">
        <v>0</v>
      </c>
      <c r="D75" s="33">
        <v>0</v>
      </c>
      <c r="E75" s="33">
        <v>0</v>
      </c>
      <c r="F75" s="34">
        <v>0</v>
      </c>
      <c r="G75" s="32">
        <v>0</v>
      </c>
      <c r="H75" s="32">
        <v>0</v>
      </c>
      <c r="I75" s="32">
        <v>0</v>
      </c>
      <c r="J75" s="32">
        <v>0</v>
      </c>
      <c r="K75" s="35">
        <v>0</v>
      </c>
      <c r="L75" s="33">
        <v>0</v>
      </c>
      <c r="M75" s="33">
        <v>0</v>
      </c>
      <c r="N75" s="33">
        <v>0</v>
      </c>
      <c r="O75" s="32">
        <v>0</v>
      </c>
      <c r="P75" s="32">
        <v>0</v>
      </c>
    </row>
    <row r="76" spans="2:16" ht="11.25">
      <c r="B76" s="2" t="s">
        <v>16</v>
      </c>
      <c r="C76" s="45">
        <f aca="true" t="shared" si="28" ref="C76:I76">(C21/G21)-1</f>
        <v>-1</v>
      </c>
      <c r="D76" s="33">
        <f t="shared" si="28"/>
        <v>-0.625572165204751</v>
      </c>
      <c r="E76" s="33">
        <f t="shared" si="28"/>
        <v>0.5000478846626719</v>
      </c>
      <c r="F76" s="34">
        <f t="shared" si="28"/>
        <v>0.043557679886319534</v>
      </c>
      <c r="G76" s="32">
        <f t="shared" si="28"/>
        <v>-0.34732379425002935</v>
      </c>
      <c r="H76" s="32">
        <f t="shared" si="28"/>
        <v>0.03408925935783591</v>
      </c>
      <c r="I76" s="32">
        <f t="shared" si="28"/>
        <v>-0.5428903052682766</v>
      </c>
      <c r="J76" s="32">
        <f>+(J21/N21)-1</f>
        <v>-0.2496915312360365</v>
      </c>
      <c r="K76" s="35">
        <f>+(K21/O21)-1</f>
        <v>-0.15147725994127903</v>
      </c>
      <c r="L76" s="33">
        <f>+(L21/843069)-1</f>
        <v>-0.2156466433945502</v>
      </c>
      <c r="M76" s="33">
        <f>+(M21/1089622)-1</f>
        <v>-0.2243264177852503</v>
      </c>
      <c r="N76" s="33">
        <f>+(N21/1215077)-1</f>
        <v>-0.1509106007273613</v>
      </c>
      <c r="O76" s="32">
        <f>+(O21/P21)-1</f>
        <v>-0.205686519683685</v>
      </c>
      <c r="P76" s="32">
        <f>+(P21/1319390)-1</f>
        <v>-0.10107473908397058</v>
      </c>
    </row>
    <row r="77" spans="1:16" ht="11.25">
      <c r="A77" s="2" t="s">
        <v>66</v>
      </c>
      <c r="C77" s="45">
        <f aca="true" t="shared" si="29" ref="C77:I77">(C25/G25)-1</f>
        <v>-0.3275565740475509</v>
      </c>
      <c r="D77" s="33">
        <f t="shared" si="29"/>
        <v>0.41675392670157074</v>
      </c>
      <c r="E77" s="33">
        <f t="shared" si="29"/>
        <v>1.3672090881179</v>
      </c>
      <c r="F77" s="34">
        <f t="shared" si="29"/>
        <v>3.659991292990858</v>
      </c>
      <c r="G77" s="32">
        <f t="shared" si="29"/>
        <v>-0.30402711323763953</v>
      </c>
      <c r="H77" s="32">
        <f t="shared" si="29"/>
        <v>-0.43370493358633777</v>
      </c>
      <c r="I77" s="32">
        <f t="shared" si="29"/>
        <v>-0.5050151975683891</v>
      </c>
      <c r="J77" s="33">
        <f>+(J25/N25)-1</f>
        <v>-0.555791916457165</v>
      </c>
      <c r="K77" s="35">
        <f>+(K25/O25)-1</f>
        <v>0.08948740225890539</v>
      </c>
      <c r="L77" s="33">
        <f>+(L25/6631)-1</f>
        <v>0.271603076459056</v>
      </c>
      <c r="M77" s="33">
        <f>+(M25/4319)-1</f>
        <v>0.5235008103727714</v>
      </c>
      <c r="N77" s="33">
        <f>+(N25/5881)-1</f>
        <v>-0.12072776738649893</v>
      </c>
      <c r="O77" s="33">
        <f>+(O25/P25)-1</f>
        <v>-0.43785103785103785</v>
      </c>
      <c r="P77" s="33">
        <f>(P25/15379)-1</f>
        <v>0.06508875739644981</v>
      </c>
    </row>
    <row r="78" spans="1:16" ht="11.25">
      <c r="A78" s="3" t="s">
        <v>67</v>
      </c>
      <c r="B78" s="3"/>
      <c r="C78" s="38">
        <f aca="true" t="shared" si="30" ref="C78:I78">(C40/G40)-1</f>
        <v>-0.5744413758473512</v>
      </c>
      <c r="D78" s="36">
        <f t="shared" si="30"/>
        <v>1.1211267605633801</v>
      </c>
      <c r="E78" s="36">
        <f t="shared" si="30"/>
        <v>17.326848249027236</v>
      </c>
      <c r="F78" s="37">
        <f t="shared" si="30"/>
        <v>-6.295874822190612</v>
      </c>
      <c r="G78" s="36">
        <f t="shared" si="30"/>
        <v>-0.43366984217261484</v>
      </c>
      <c r="H78" s="36">
        <f t="shared" si="30"/>
        <v>-0.6732326951399117</v>
      </c>
      <c r="I78" s="36">
        <f t="shared" si="30"/>
        <v>-0.9417101383533681</v>
      </c>
      <c r="J78" s="36">
        <f>+(J40/N40)-1</f>
        <v>-1.3233670653173872</v>
      </c>
      <c r="K78" s="39">
        <f>+(K40/O40)-1</f>
        <v>0.14637326813365936</v>
      </c>
      <c r="L78" s="36">
        <f>+(L40/3664)-1</f>
        <v>0.482532751091703</v>
      </c>
      <c r="M78" s="36">
        <f>+(M40/1317)-1</f>
        <v>2.3477600607441156</v>
      </c>
      <c r="N78" s="36">
        <f>+(N40/2881)-1</f>
        <v>-0.24540090246442203</v>
      </c>
      <c r="O78" s="36">
        <f>+(O40/P40)-1</f>
        <v>-0.5853889301885518</v>
      </c>
      <c r="P78" s="36">
        <f>+(P40/14182)-1</f>
        <v>0.04336482865604285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2017-06-16T17:20:45Z</dcterms:created>
  <dcterms:modified xsi:type="dcterms:W3CDTF">2017-06-16T17:20:49Z</dcterms:modified>
  <cp:category/>
  <cp:version/>
  <cp:contentType/>
  <cp:contentStatus/>
</cp:coreProperties>
</file>