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acífico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<sst xmlns="http://schemas.openxmlformats.org/spreadsheetml/2006/main" count="89" uniqueCount="68">
  <si>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19-13</t>
  </si>
  <si>
    <t>BANCO DEL PACIFICO</t>
  </si>
  <si>
    <t>ESTADISTICA FINANCIERA.TRIMESTRES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</si>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</sst>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40">
    <font>
      <sz val="10"/>
      <name val="Arial"/>
      <family val="0"/>
    </font>
    <font>
      <b/>
      <sz val="7"/>
      <name val="Arial Narrow"/>
      <family val="2"/>
    </font>
    <font>
      <sz val="7"/>
      <name val="Arial"/>
      <family val="0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201" fontId="1" fillId="0" borderId="0" xfId="46" applyNumberFormat="1" applyFont="1" applyAlignment="1">
      <alignment/>
    </xf>
    <xf numFmtId="0" fontId="3" fillId="0" borderId="0" xfId="0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0" xfId="5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201" fontId="5" fillId="0" borderId="0" xfId="46" applyNumberFormat="1" applyFont="1" applyAlignment="1">
      <alignment/>
    </xf>
    <xf numFmtId="201" fontId="5" fillId="0" borderId="16" xfId="46" applyNumberFormat="1" applyFont="1" applyBorder="1" applyAlignment="1">
      <alignment/>
    </xf>
    <xf numFmtId="201" fontId="5" fillId="0" borderId="0" xfId="46" applyNumberFormat="1" applyFont="1" applyBorder="1" applyAlignment="1">
      <alignment/>
    </xf>
    <xf numFmtId="0" fontId="4" fillId="0" borderId="0" xfId="0" applyFont="1" applyAlignment="1">
      <alignment/>
    </xf>
    <xf numFmtId="201" fontId="4" fillId="0" borderId="0" xfId="46" applyNumberFormat="1" applyFont="1" applyAlignment="1">
      <alignment/>
    </xf>
    <xf numFmtId="201" fontId="4" fillId="0" borderId="0" xfId="46" applyNumberFormat="1" applyFont="1" applyBorder="1" applyAlignment="1">
      <alignment/>
    </xf>
    <xf numFmtId="201" fontId="4" fillId="0" borderId="15" xfId="46" applyNumberFormat="1" applyFont="1" applyBorder="1" applyAlignment="1">
      <alignment/>
    </xf>
    <xf numFmtId="201" fontId="4" fillId="0" borderId="16" xfId="46" applyNumberFormat="1" applyFont="1" applyBorder="1" applyAlignment="1">
      <alignment/>
    </xf>
    <xf numFmtId="201" fontId="4" fillId="0" borderId="10" xfId="46" applyNumberFormat="1" applyFont="1" applyBorder="1" applyAlignment="1">
      <alignment/>
    </xf>
    <xf numFmtId="201" fontId="4" fillId="0" borderId="17" xfId="46" applyNumberFormat="1" applyFont="1" applyBorder="1" applyAlignment="1">
      <alignment/>
    </xf>
    <xf numFmtId="201" fontId="4" fillId="0" borderId="14" xfId="46" applyNumberFormat="1" applyFont="1" applyBorder="1" applyAlignment="1">
      <alignment/>
    </xf>
    <xf numFmtId="0" fontId="4" fillId="0" borderId="15" xfId="0" applyFont="1" applyBorder="1" applyAlignment="1">
      <alignment/>
    </xf>
    <xf numFmtId="201" fontId="4" fillId="0" borderId="11" xfId="46" applyNumberFormat="1" applyFont="1" applyBorder="1" applyAlignment="1">
      <alignment/>
    </xf>
    <xf numFmtId="0" fontId="4" fillId="0" borderId="16" xfId="0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16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7" xfId="52" applyNumberFormat="1" applyFont="1" applyBorder="1" applyAlignment="1">
      <alignment/>
    </xf>
    <xf numFmtId="10" fontId="4" fillId="0" borderId="14" xfId="52" applyNumberFormat="1" applyFont="1" applyBorder="1" applyAlignment="1">
      <alignment/>
    </xf>
    <xf numFmtId="204" fontId="4" fillId="0" borderId="15" xfId="52" applyNumberFormat="1" applyFont="1" applyBorder="1" applyAlignment="1">
      <alignment/>
    </xf>
    <xf numFmtId="204" fontId="4" fillId="0" borderId="0" xfId="52" applyNumberFormat="1" applyFont="1" applyAlignment="1">
      <alignment/>
    </xf>
    <xf numFmtId="204" fontId="4" fillId="0" borderId="17" xfId="52" applyNumberFormat="1" applyFont="1" applyBorder="1" applyAlignment="1">
      <alignment/>
    </xf>
    <xf numFmtId="204" fontId="4" fillId="0" borderId="10" xfId="52" applyNumberFormat="1" applyFont="1" applyBorder="1" applyAlignment="1">
      <alignment/>
    </xf>
    <xf numFmtId="10" fontId="4" fillId="0" borderId="0" xfId="52" applyNumberFormat="1" applyFont="1" applyFill="1" applyBorder="1" applyAlignment="1">
      <alignment/>
    </xf>
    <xf numFmtId="10" fontId="4" fillId="0" borderId="16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4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11.421875" defaultRowHeight="12.75"/>
  <cols>
    <col min="1" max="1" width="3.57421875" style="26" customWidth="1"/>
    <col min="2" max="2" width="29.140625" style="26" customWidth="1"/>
    <col min="3" max="3" width="7.00390625" style="26" bestFit="1" customWidth="1"/>
    <col min="4" max="4" width="8.28125" style="26" customWidth="1"/>
    <col min="5" max="5" width="7.00390625" style="26" customWidth="1"/>
    <col min="6" max="6" width="8.28125" style="26" customWidth="1"/>
    <col min="7" max="7" width="7.00390625" style="26" bestFit="1" customWidth="1"/>
    <col min="8" max="8" width="8.28125" style="26" customWidth="1"/>
    <col min="9" max="9" width="7.57421875" style="26" customWidth="1"/>
    <col min="10" max="10" width="6.8515625" style="26" customWidth="1"/>
    <col min="11" max="11" width="7.00390625" style="26" bestFit="1" customWidth="1"/>
    <col min="12" max="12" width="8.7109375" style="26" customWidth="1"/>
    <col min="13" max="13" width="8.28125" style="26" customWidth="1"/>
    <col min="14" max="14" width="8.140625" style="26" customWidth="1"/>
    <col min="15" max="15" width="6.28125" style="1" hidden="1" customWidth="1"/>
    <col min="16" max="16" width="6.421875" style="1" hidden="1" customWidth="1"/>
    <col min="17" max="16384" width="11.421875" style="1" customWidth="1"/>
  </cols>
  <sheetData>
    <row r="1" spans="2:16" ht="11.25">
      <c r="B1" s="56"/>
      <c r="C1" s="56"/>
      <c r="D1" s="56"/>
      <c r="E1" s="56"/>
      <c r="F1" s="56"/>
      <c r="G1" s="56"/>
      <c r="H1" s="56" t="s">
        <v>0</v>
      </c>
      <c r="I1" s="56"/>
      <c r="J1" s="56"/>
      <c r="K1" s="56"/>
      <c r="L1" s="56"/>
      <c r="M1" s="56"/>
      <c r="N1" s="56"/>
      <c r="O1" s="56"/>
      <c r="P1" s="56"/>
    </row>
    <row r="2" spans="2:16" ht="11.25">
      <c r="B2" s="56"/>
      <c r="C2" s="56"/>
      <c r="D2" s="56"/>
      <c r="E2" s="56"/>
      <c r="F2" s="56"/>
      <c r="G2" s="56"/>
      <c r="H2" s="56" t="s">
        <v>1</v>
      </c>
      <c r="I2" s="56"/>
      <c r="J2" s="56"/>
      <c r="K2" s="56"/>
      <c r="L2" s="56"/>
      <c r="M2" s="56"/>
      <c r="N2" s="56"/>
      <c r="O2" s="56"/>
      <c r="P2" s="56"/>
    </row>
    <row r="3" spans="2:16" ht="11.25">
      <c r="B3" s="56"/>
      <c r="C3" s="56"/>
      <c r="D3" s="56"/>
      <c r="E3" s="56"/>
      <c r="F3" s="56"/>
      <c r="G3" s="56"/>
      <c r="H3" s="56" t="s">
        <v>2</v>
      </c>
      <c r="I3" s="56"/>
      <c r="J3" s="56"/>
      <c r="K3" s="56"/>
      <c r="L3" s="56"/>
      <c r="M3" s="56"/>
      <c r="N3" s="56"/>
      <c r="O3" s="56"/>
      <c r="P3" s="56"/>
    </row>
    <row r="4" spans="1:16" ht="11.25">
      <c r="A4" s="1"/>
      <c r="B4" s="55"/>
      <c r="C4" s="55"/>
      <c r="D4" s="55"/>
      <c r="E4" s="55"/>
      <c r="F4" s="55"/>
      <c r="G4" s="55"/>
      <c r="H4" s="55" t="s">
        <v>3</v>
      </c>
      <c r="I4" s="55"/>
      <c r="J4" s="55"/>
      <c r="K4" s="55"/>
      <c r="L4" s="55"/>
      <c r="M4" s="55"/>
      <c r="N4" s="55"/>
      <c r="O4" s="55"/>
      <c r="P4" s="55"/>
    </row>
    <row r="5" spans="1:16" ht="11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O6" s="2"/>
      <c r="P6" s="2"/>
    </row>
    <row r="7" spans="1:16" ht="12.75" customHeight="1">
      <c r="A7" s="15"/>
      <c r="B7" s="15"/>
      <c r="C7" s="58">
        <v>2002</v>
      </c>
      <c r="D7" s="58"/>
      <c r="E7" s="58"/>
      <c r="F7" s="60"/>
      <c r="G7" s="58">
        <v>2001</v>
      </c>
      <c r="H7" s="58"/>
      <c r="I7" s="58"/>
      <c r="J7" s="58"/>
      <c r="K7" s="57">
        <v>2000</v>
      </c>
      <c r="L7" s="58"/>
      <c r="M7" s="58"/>
      <c r="N7" s="58"/>
      <c r="O7" s="59" t="s">
        <v>4</v>
      </c>
      <c r="P7" s="59"/>
    </row>
    <row r="8" spans="1:16" ht="11.25">
      <c r="A8" s="16"/>
      <c r="B8" s="16"/>
      <c r="C8" s="17" t="s">
        <v>5</v>
      </c>
      <c r="D8" s="17" t="s">
        <v>6</v>
      </c>
      <c r="E8" s="16" t="s">
        <v>7</v>
      </c>
      <c r="F8" s="18" t="s">
        <v>8</v>
      </c>
      <c r="G8" s="17" t="s">
        <v>5</v>
      </c>
      <c r="H8" s="17" t="s">
        <v>6</v>
      </c>
      <c r="I8" s="16" t="s">
        <v>7</v>
      </c>
      <c r="J8" s="16" t="s">
        <v>8</v>
      </c>
      <c r="K8" s="19" t="s">
        <v>5</v>
      </c>
      <c r="L8" s="16" t="s">
        <v>6</v>
      </c>
      <c r="M8" s="16" t="s">
        <v>7</v>
      </c>
      <c r="N8" s="16" t="s">
        <v>8</v>
      </c>
      <c r="O8" s="4" t="s">
        <v>9</v>
      </c>
      <c r="P8" s="4" t="s">
        <v>10</v>
      </c>
    </row>
    <row r="9" spans="1:16" ht="11.25">
      <c r="A9" s="20" t="s">
        <v>11</v>
      </c>
      <c r="B9" s="20"/>
      <c r="C9" s="20"/>
      <c r="D9" s="20"/>
      <c r="E9" s="21"/>
      <c r="F9" s="22"/>
      <c r="G9" s="20"/>
      <c r="H9" s="20"/>
      <c r="I9" s="20"/>
      <c r="J9" s="23"/>
      <c r="K9" s="24"/>
      <c r="L9" s="25"/>
      <c r="M9" s="25"/>
      <c r="N9" s="25"/>
      <c r="O9" s="5"/>
      <c r="P9" s="5"/>
    </row>
    <row r="10" spans="1:16" ht="11.25">
      <c r="A10" s="26" t="s">
        <v>12</v>
      </c>
      <c r="C10" s="27">
        <v>37466</v>
      </c>
      <c r="D10" s="27">
        <v>41090</v>
      </c>
      <c r="E10" s="28">
        <v>44724</v>
      </c>
      <c r="F10" s="29">
        <v>55125</v>
      </c>
      <c r="G10" s="27">
        <v>57334</v>
      </c>
      <c r="H10" s="27">
        <v>63355</v>
      </c>
      <c r="I10" s="27">
        <v>89321</v>
      </c>
      <c r="J10" s="27">
        <v>83283</v>
      </c>
      <c r="K10" s="30">
        <v>83420</v>
      </c>
      <c r="L10" s="28">
        <v>85911</v>
      </c>
      <c r="M10" s="28">
        <v>87560</v>
      </c>
      <c r="N10" s="28">
        <v>97483</v>
      </c>
      <c r="O10" s="7">
        <v>104469</v>
      </c>
      <c r="P10" s="7">
        <v>268953</v>
      </c>
    </row>
    <row r="11" spans="1:16" ht="11.25">
      <c r="A11" s="26" t="s">
        <v>13</v>
      </c>
      <c r="C11" s="27">
        <v>7400</v>
      </c>
      <c r="D11" s="27">
        <v>7658</v>
      </c>
      <c r="E11" s="28">
        <v>10877</v>
      </c>
      <c r="F11" s="29">
        <v>24710</v>
      </c>
      <c r="G11" s="27">
        <v>25466</v>
      </c>
      <c r="H11" s="27">
        <v>22005</v>
      </c>
      <c r="I11" s="27">
        <v>30194</v>
      </c>
      <c r="J11" s="27">
        <v>20321</v>
      </c>
      <c r="K11" s="30">
        <v>15153</v>
      </c>
      <c r="L11" s="28">
        <v>16928</v>
      </c>
      <c r="M11" s="28">
        <v>19328</v>
      </c>
      <c r="N11" s="28">
        <v>21844</v>
      </c>
      <c r="O11" s="7">
        <v>20791</v>
      </c>
      <c r="P11" s="7">
        <v>84015</v>
      </c>
    </row>
    <row r="12" spans="1:16" ht="11.25">
      <c r="A12" s="26" t="s">
        <v>14</v>
      </c>
      <c r="C12" s="28">
        <f aca="true" t="shared" si="0" ref="C12:P12">C13+C14</f>
        <v>25003</v>
      </c>
      <c r="D12" s="28">
        <f t="shared" si="0"/>
        <v>27336</v>
      </c>
      <c r="E12" s="28">
        <f t="shared" si="0"/>
        <v>27686</v>
      </c>
      <c r="F12" s="29">
        <f t="shared" si="0"/>
        <v>24419</v>
      </c>
      <c r="G12" s="27">
        <f t="shared" si="0"/>
        <v>25668</v>
      </c>
      <c r="H12" s="27">
        <f t="shared" si="0"/>
        <v>34979</v>
      </c>
      <c r="I12" s="27">
        <f t="shared" si="0"/>
        <v>52489</v>
      </c>
      <c r="J12" s="27">
        <f t="shared" si="0"/>
        <v>56150</v>
      </c>
      <c r="K12" s="30">
        <f t="shared" si="0"/>
        <v>61138</v>
      </c>
      <c r="L12" s="28">
        <f t="shared" si="0"/>
        <v>60726</v>
      </c>
      <c r="M12" s="28">
        <f t="shared" si="0"/>
        <v>59856</v>
      </c>
      <c r="N12" s="28">
        <f t="shared" si="0"/>
        <v>66647</v>
      </c>
      <c r="O12" s="7">
        <f t="shared" si="0"/>
        <v>74402</v>
      </c>
      <c r="P12" s="7">
        <f t="shared" si="0"/>
        <v>167251</v>
      </c>
    </row>
    <row r="13" spans="2:16" ht="11.25">
      <c r="B13" s="26" t="s">
        <v>15</v>
      </c>
      <c r="C13" s="28">
        <v>0</v>
      </c>
      <c r="D13" s="28">
        <v>0</v>
      </c>
      <c r="E13" s="28">
        <v>0</v>
      </c>
      <c r="F13" s="29">
        <v>0</v>
      </c>
      <c r="G13" s="27">
        <v>0</v>
      </c>
      <c r="H13" s="27">
        <v>0</v>
      </c>
      <c r="I13" s="27">
        <v>0</v>
      </c>
      <c r="J13" s="27">
        <v>0</v>
      </c>
      <c r="K13" s="30"/>
      <c r="L13" s="28">
        <v>0</v>
      </c>
      <c r="M13" s="28">
        <v>0</v>
      </c>
      <c r="N13" s="28">
        <v>0</v>
      </c>
      <c r="O13" s="7">
        <v>0</v>
      </c>
      <c r="P13" s="7">
        <v>0</v>
      </c>
    </row>
    <row r="14" spans="2:16" ht="11.25">
      <c r="B14" s="26" t="s">
        <v>16</v>
      </c>
      <c r="C14" s="27">
        <v>25003</v>
      </c>
      <c r="D14" s="27">
        <v>27336</v>
      </c>
      <c r="E14" s="28">
        <v>27686</v>
      </c>
      <c r="F14" s="29">
        <v>24419</v>
      </c>
      <c r="G14" s="27">
        <v>25668</v>
      </c>
      <c r="H14" s="27">
        <v>34979</v>
      </c>
      <c r="I14" s="27">
        <v>52489</v>
      </c>
      <c r="J14" s="27">
        <v>56150</v>
      </c>
      <c r="K14" s="30">
        <v>61138</v>
      </c>
      <c r="L14" s="28">
        <v>60726</v>
      </c>
      <c r="M14" s="28">
        <v>59856</v>
      </c>
      <c r="N14" s="28">
        <v>66647</v>
      </c>
      <c r="O14" s="7">
        <v>74402</v>
      </c>
      <c r="P14" s="7">
        <v>167251</v>
      </c>
    </row>
    <row r="15" spans="1:16" ht="11.25">
      <c r="A15" s="26" t="s">
        <v>17</v>
      </c>
      <c r="C15" s="27">
        <v>55</v>
      </c>
      <c r="D15" s="27">
        <v>55</v>
      </c>
      <c r="E15" s="28">
        <v>55</v>
      </c>
      <c r="F15" s="29">
        <v>55</v>
      </c>
      <c r="G15" s="27">
        <v>55</v>
      </c>
      <c r="H15" s="27">
        <v>55</v>
      </c>
      <c r="I15" s="27">
        <v>55</v>
      </c>
      <c r="J15" s="27">
        <v>55</v>
      </c>
      <c r="K15" s="30">
        <v>146</v>
      </c>
      <c r="L15" s="28">
        <v>236</v>
      </c>
      <c r="M15" s="28">
        <v>236</v>
      </c>
      <c r="N15" s="28">
        <v>313</v>
      </c>
      <c r="O15" s="7">
        <v>313</v>
      </c>
      <c r="P15" s="7">
        <v>3755</v>
      </c>
    </row>
    <row r="16" spans="1:16" ht="11.25">
      <c r="A16" s="26" t="s">
        <v>18</v>
      </c>
      <c r="C16" s="28">
        <f aca="true" t="shared" si="1" ref="C16:P16">C17+C21</f>
        <v>31841</v>
      </c>
      <c r="D16" s="28">
        <f t="shared" si="1"/>
        <v>34548</v>
      </c>
      <c r="E16" s="28">
        <f t="shared" si="1"/>
        <v>37943</v>
      </c>
      <c r="F16" s="29">
        <f t="shared" si="1"/>
        <v>38679</v>
      </c>
      <c r="G16" s="27">
        <f t="shared" si="1"/>
        <v>40431</v>
      </c>
      <c r="H16" s="27">
        <f t="shared" si="1"/>
        <v>46645</v>
      </c>
      <c r="I16" s="27">
        <f t="shared" si="1"/>
        <v>71447</v>
      </c>
      <c r="J16" s="27">
        <f t="shared" si="1"/>
        <v>65072</v>
      </c>
      <c r="K16" s="30">
        <f t="shared" si="1"/>
        <v>64914</v>
      </c>
      <c r="L16" s="28">
        <f t="shared" si="1"/>
        <v>70895</v>
      </c>
      <c r="M16" s="28">
        <f t="shared" si="1"/>
        <v>72126</v>
      </c>
      <c r="N16" s="28">
        <f t="shared" si="1"/>
        <v>81736</v>
      </c>
      <c r="O16" s="7">
        <f t="shared" si="1"/>
        <v>87819</v>
      </c>
      <c r="P16" s="7">
        <f t="shared" si="1"/>
        <v>244648</v>
      </c>
    </row>
    <row r="17" spans="2:16" ht="11.25">
      <c r="B17" s="26" t="s">
        <v>15</v>
      </c>
      <c r="C17" s="28">
        <f aca="true" t="shared" si="2" ref="C17:P17">SUM(C18:C20)</f>
        <v>0</v>
      </c>
      <c r="D17" s="28">
        <f t="shared" si="2"/>
        <v>0</v>
      </c>
      <c r="E17" s="28">
        <f t="shared" si="2"/>
        <v>0</v>
      </c>
      <c r="F17" s="29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30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7">
        <f t="shared" si="2"/>
        <v>0</v>
      </c>
      <c r="P17" s="7">
        <f t="shared" si="2"/>
        <v>100</v>
      </c>
    </row>
    <row r="18" spans="2:16" ht="11.25">
      <c r="B18" s="26" t="s">
        <v>19</v>
      </c>
      <c r="C18" s="28">
        <v>0</v>
      </c>
      <c r="D18" s="28">
        <v>0</v>
      </c>
      <c r="E18" s="28">
        <v>0</v>
      </c>
      <c r="F18" s="29">
        <v>0</v>
      </c>
      <c r="G18" s="27">
        <v>0</v>
      </c>
      <c r="H18" s="27">
        <v>0</v>
      </c>
      <c r="I18" s="27">
        <v>0</v>
      </c>
      <c r="J18" s="27">
        <v>0</v>
      </c>
      <c r="K18" s="30">
        <v>0</v>
      </c>
      <c r="L18" s="28">
        <v>0</v>
      </c>
      <c r="M18" s="28">
        <v>0</v>
      </c>
      <c r="N18" s="28">
        <v>0</v>
      </c>
      <c r="O18" s="7">
        <v>0</v>
      </c>
      <c r="P18" s="7">
        <v>0</v>
      </c>
    </row>
    <row r="19" spans="2:16" ht="11.25">
      <c r="B19" s="26" t="s">
        <v>20</v>
      </c>
      <c r="C19" s="28">
        <v>0</v>
      </c>
      <c r="D19" s="28">
        <v>0</v>
      </c>
      <c r="E19" s="28">
        <v>0</v>
      </c>
      <c r="F19" s="29">
        <v>0</v>
      </c>
      <c r="G19" s="27">
        <v>0</v>
      </c>
      <c r="H19" s="27">
        <v>0</v>
      </c>
      <c r="I19" s="27">
        <v>0</v>
      </c>
      <c r="J19" s="27">
        <v>0</v>
      </c>
      <c r="K19" s="30">
        <v>0</v>
      </c>
      <c r="L19" s="28">
        <v>0</v>
      </c>
      <c r="M19" s="28">
        <v>0</v>
      </c>
      <c r="N19" s="28">
        <v>0</v>
      </c>
      <c r="O19" s="7">
        <v>0</v>
      </c>
      <c r="P19" s="7">
        <v>0</v>
      </c>
    </row>
    <row r="20" spans="2:16" ht="11.25">
      <c r="B20" s="26" t="s">
        <v>21</v>
      </c>
      <c r="C20" s="28">
        <v>0</v>
      </c>
      <c r="D20" s="28">
        <v>0</v>
      </c>
      <c r="E20" s="28">
        <v>0</v>
      </c>
      <c r="F20" s="29">
        <v>0</v>
      </c>
      <c r="G20" s="27">
        <v>0</v>
      </c>
      <c r="H20" s="27">
        <v>0</v>
      </c>
      <c r="I20" s="27">
        <v>0</v>
      </c>
      <c r="J20" s="27">
        <v>0</v>
      </c>
      <c r="K20" s="30">
        <v>0</v>
      </c>
      <c r="L20" s="28">
        <v>0</v>
      </c>
      <c r="M20" s="28">
        <v>0</v>
      </c>
      <c r="N20" s="28">
        <v>0</v>
      </c>
      <c r="O20" s="7">
        <v>0</v>
      </c>
      <c r="P20" s="7">
        <v>100</v>
      </c>
    </row>
    <row r="21" spans="2:16" ht="11.25">
      <c r="B21" s="26" t="s">
        <v>16</v>
      </c>
      <c r="C21" s="28">
        <f>+C22+C23+C24</f>
        <v>31841</v>
      </c>
      <c r="D21" s="28">
        <f>+D22+D23+D24</f>
        <v>34548</v>
      </c>
      <c r="E21" s="28">
        <f>+E22+E23+E24</f>
        <v>37943</v>
      </c>
      <c r="F21" s="29">
        <f>+F22+F23+F24</f>
        <v>38679</v>
      </c>
      <c r="G21" s="27">
        <f aca="true" t="shared" si="3" ref="G21:P21">SUM(G23:G24)</f>
        <v>40431</v>
      </c>
      <c r="H21" s="27">
        <f t="shared" si="3"/>
        <v>46645</v>
      </c>
      <c r="I21" s="27">
        <f t="shared" si="3"/>
        <v>71447</v>
      </c>
      <c r="J21" s="27">
        <f t="shared" si="3"/>
        <v>65072</v>
      </c>
      <c r="K21" s="30">
        <f t="shared" si="3"/>
        <v>64914</v>
      </c>
      <c r="L21" s="28">
        <f t="shared" si="3"/>
        <v>70895</v>
      </c>
      <c r="M21" s="28">
        <f t="shared" si="3"/>
        <v>72126</v>
      </c>
      <c r="N21" s="28">
        <f t="shared" si="3"/>
        <v>81736</v>
      </c>
      <c r="O21" s="7">
        <f t="shared" si="3"/>
        <v>87819</v>
      </c>
      <c r="P21" s="7">
        <f t="shared" si="3"/>
        <v>244548</v>
      </c>
    </row>
    <row r="22" spans="2:16" ht="11.25">
      <c r="B22" s="26" t="s">
        <v>19</v>
      </c>
      <c r="C22" s="28"/>
      <c r="D22" s="28"/>
      <c r="E22" s="28"/>
      <c r="F22" s="29"/>
      <c r="G22" s="27"/>
      <c r="H22" s="27"/>
      <c r="I22" s="27"/>
      <c r="J22" s="27"/>
      <c r="K22" s="30"/>
      <c r="L22" s="28"/>
      <c r="M22" s="28"/>
      <c r="N22" s="28"/>
      <c r="O22" s="7"/>
      <c r="P22" s="7"/>
    </row>
    <row r="23" spans="2:16" ht="11.25">
      <c r="B23" s="26" t="s">
        <v>20</v>
      </c>
      <c r="C23" s="27">
        <v>31693</v>
      </c>
      <c r="D23" s="27">
        <v>34438</v>
      </c>
      <c r="E23" s="28">
        <v>37685</v>
      </c>
      <c r="F23" s="29">
        <v>38597</v>
      </c>
      <c r="G23" s="27">
        <f>37540+2724</f>
        <v>40264</v>
      </c>
      <c r="H23" s="27">
        <f>2687+43107</f>
        <v>45794</v>
      </c>
      <c r="I23" s="27">
        <v>71273</v>
      </c>
      <c r="J23" s="27">
        <v>64894</v>
      </c>
      <c r="K23" s="30">
        <f>3184+61126</f>
        <v>64310</v>
      </c>
      <c r="L23" s="28">
        <v>70368</v>
      </c>
      <c r="M23" s="28">
        <v>71833</v>
      </c>
      <c r="N23" s="28">
        <v>75959</v>
      </c>
      <c r="O23" s="7">
        <v>87760</v>
      </c>
      <c r="P23" s="7">
        <v>236508</v>
      </c>
    </row>
    <row r="24" spans="2:16" ht="11.25">
      <c r="B24" s="26" t="s">
        <v>21</v>
      </c>
      <c r="C24" s="27">
        <v>148</v>
      </c>
      <c r="D24" s="27">
        <v>110</v>
      </c>
      <c r="E24" s="28">
        <v>258</v>
      </c>
      <c r="F24" s="29">
        <v>82</v>
      </c>
      <c r="G24" s="27">
        <v>167</v>
      </c>
      <c r="H24" s="27">
        <f>831+20</f>
        <v>851</v>
      </c>
      <c r="I24" s="27">
        <v>174</v>
      </c>
      <c r="J24" s="27">
        <v>178</v>
      </c>
      <c r="K24" s="30">
        <v>604</v>
      </c>
      <c r="L24" s="28">
        <v>527</v>
      </c>
      <c r="M24" s="28">
        <v>293</v>
      </c>
      <c r="N24" s="28">
        <v>5777</v>
      </c>
      <c r="O24" s="7">
        <v>59</v>
      </c>
      <c r="P24" s="7">
        <v>8040</v>
      </c>
    </row>
    <row r="25" spans="1:16" ht="11.25">
      <c r="A25" s="13" t="s">
        <v>22</v>
      </c>
      <c r="B25" s="13"/>
      <c r="C25" s="31">
        <v>3325</v>
      </c>
      <c r="D25" s="31">
        <v>3900</v>
      </c>
      <c r="E25" s="31">
        <v>4133</v>
      </c>
      <c r="F25" s="32">
        <v>4442</v>
      </c>
      <c r="G25" s="31">
        <v>4910</v>
      </c>
      <c r="H25" s="31">
        <v>5318</v>
      </c>
      <c r="I25" s="31">
        <v>5403</v>
      </c>
      <c r="J25" s="31">
        <v>5763</v>
      </c>
      <c r="K25" s="33">
        <v>5889</v>
      </c>
      <c r="L25" s="31">
        <v>5676</v>
      </c>
      <c r="M25" s="31">
        <v>6525</v>
      </c>
      <c r="N25" s="31">
        <v>7097</v>
      </c>
      <c r="O25" s="9">
        <v>7658</v>
      </c>
      <c r="P25" s="9">
        <v>17989</v>
      </c>
    </row>
    <row r="26" spans="1:16" ht="11.25">
      <c r="A26" s="20" t="s">
        <v>23</v>
      </c>
      <c r="C26" s="15"/>
      <c r="D26" s="27"/>
      <c r="E26" s="28"/>
      <c r="F26" s="34"/>
      <c r="J26" s="27"/>
      <c r="K26" s="30"/>
      <c r="L26" s="28"/>
      <c r="M26" s="28"/>
      <c r="N26" s="28"/>
      <c r="O26" s="7"/>
      <c r="P26" s="7"/>
    </row>
    <row r="27" spans="1:16" ht="11.25">
      <c r="A27" s="26" t="s">
        <v>12</v>
      </c>
      <c r="C27" s="28">
        <f aca="true" t="shared" si="4" ref="C27:I27">(C10+G10)/2</f>
        <v>47400</v>
      </c>
      <c r="D27" s="28">
        <f t="shared" si="4"/>
        <v>52222.5</v>
      </c>
      <c r="E27" s="28">
        <f t="shared" si="4"/>
        <v>67022.5</v>
      </c>
      <c r="F27" s="29">
        <f t="shared" si="4"/>
        <v>69204</v>
      </c>
      <c r="G27" s="27">
        <f t="shared" si="4"/>
        <v>70377</v>
      </c>
      <c r="H27" s="27">
        <f t="shared" si="4"/>
        <v>74633</v>
      </c>
      <c r="I27" s="27">
        <f t="shared" si="4"/>
        <v>88440.5</v>
      </c>
      <c r="J27" s="27">
        <f>+(J10+N10)/2</f>
        <v>90383</v>
      </c>
      <c r="K27" s="30">
        <f>+(K10+O10)/2</f>
        <v>93944.5</v>
      </c>
      <c r="L27" s="28">
        <f>+(133544+L10)/2</f>
        <v>109727.5</v>
      </c>
      <c r="M27" s="28">
        <f>+(161167+M10)/2</f>
        <v>124363.5</v>
      </c>
      <c r="N27" s="28">
        <f>+(235508+N10)/2</f>
        <v>166495.5</v>
      </c>
      <c r="O27" s="7">
        <f>(O10+P10)/2</f>
        <v>186711</v>
      </c>
      <c r="P27" s="7">
        <f>(P10+338798)/2</f>
        <v>303875.5</v>
      </c>
    </row>
    <row r="28" spans="1:16" ht="11.25">
      <c r="A28" s="26" t="s">
        <v>24</v>
      </c>
      <c r="C28" s="28">
        <f aca="true" t="shared" si="5" ref="C28:P28">C29+C30</f>
        <v>25390.5</v>
      </c>
      <c r="D28" s="28">
        <f t="shared" si="5"/>
        <v>31212.5</v>
      </c>
      <c r="E28" s="28">
        <f t="shared" si="5"/>
        <v>40142.5</v>
      </c>
      <c r="F28" s="29">
        <f t="shared" si="5"/>
        <v>40339.5</v>
      </c>
      <c r="G28" s="27">
        <f t="shared" si="5"/>
        <v>43503.5</v>
      </c>
      <c r="H28" s="27">
        <f t="shared" si="5"/>
        <v>47998</v>
      </c>
      <c r="I28" s="27">
        <f t="shared" si="5"/>
        <v>56318</v>
      </c>
      <c r="J28" s="27">
        <f t="shared" si="5"/>
        <v>61582.5</v>
      </c>
      <c r="K28" s="30">
        <f t="shared" si="5"/>
        <v>67999.5</v>
      </c>
      <c r="L28" s="28">
        <f t="shared" si="5"/>
        <v>75476</v>
      </c>
      <c r="M28" s="28">
        <f t="shared" si="5"/>
        <v>84316</v>
      </c>
      <c r="N28" s="28">
        <f t="shared" si="5"/>
        <v>120587.5</v>
      </c>
      <c r="O28" s="7">
        <f t="shared" si="5"/>
        <v>122860.5</v>
      </c>
      <c r="P28" s="7">
        <f t="shared" si="5"/>
        <v>209285</v>
      </c>
    </row>
    <row r="29" spans="2:16" ht="11.25">
      <c r="B29" s="26" t="s">
        <v>14</v>
      </c>
      <c r="C29" s="28">
        <f aca="true" t="shared" si="6" ref="C29:I29">(C12+G12)/2</f>
        <v>25335.5</v>
      </c>
      <c r="D29" s="28">
        <f t="shared" si="6"/>
        <v>31157.5</v>
      </c>
      <c r="E29" s="28">
        <f t="shared" si="6"/>
        <v>40087.5</v>
      </c>
      <c r="F29" s="29">
        <f t="shared" si="6"/>
        <v>40284.5</v>
      </c>
      <c r="G29" s="27">
        <f t="shared" si="6"/>
        <v>43403</v>
      </c>
      <c r="H29" s="27">
        <f t="shared" si="6"/>
        <v>47852.5</v>
      </c>
      <c r="I29" s="27">
        <f t="shared" si="6"/>
        <v>56172.5</v>
      </c>
      <c r="J29" s="27">
        <f>+(J12+N12)/2</f>
        <v>61398.5</v>
      </c>
      <c r="K29" s="30">
        <f>+(K12+O12)/2</f>
        <v>67770</v>
      </c>
      <c r="L29" s="28">
        <f>+(89573+L12)/2</f>
        <v>75149.5</v>
      </c>
      <c r="M29" s="28">
        <f>+(108123+M12)/2</f>
        <v>83989.5</v>
      </c>
      <c r="N29" s="28">
        <f>+(170510+N12)/2</f>
        <v>118578.5</v>
      </c>
      <c r="O29" s="7">
        <f>(O12+P12)/2</f>
        <v>120826.5</v>
      </c>
      <c r="P29" s="7">
        <f>(P12+202469)/2</f>
        <v>184860</v>
      </c>
    </row>
    <row r="30" spans="2:16" ht="11.25">
      <c r="B30" s="26" t="s">
        <v>17</v>
      </c>
      <c r="C30" s="28">
        <f aca="true" t="shared" si="7" ref="C30:I30">(C15+G15)/2</f>
        <v>55</v>
      </c>
      <c r="D30" s="28">
        <f t="shared" si="7"/>
        <v>55</v>
      </c>
      <c r="E30" s="28">
        <f t="shared" si="7"/>
        <v>55</v>
      </c>
      <c r="F30" s="29">
        <f t="shared" si="7"/>
        <v>55</v>
      </c>
      <c r="G30" s="27">
        <f t="shared" si="7"/>
        <v>100.5</v>
      </c>
      <c r="H30" s="27">
        <f t="shared" si="7"/>
        <v>145.5</v>
      </c>
      <c r="I30" s="27">
        <f t="shared" si="7"/>
        <v>145.5</v>
      </c>
      <c r="J30" s="27">
        <f>+(J15+N15)/2</f>
        <v>184</v>
      </c>
      <c r="K30" s="30">
        <f>+(K15+O15)/2</f>
        <v>229.5</v>
      </c>
      <c r="L30" s="28">
        <f>+(417+L15)/2</f>
        <v>326.5</v>
      </c>
      <c r="M30" s="28">
        <f>+(417+M15)/2</f>
        <v>326.5</v>
      </c>
      <c r="N30" s="28">
        <f>+(3705+N15)/2</f>
        <v>2009</v>
      </c>
      <c r="O30" s="7">
        <f>(O15+P15)/2</f>
        <v>2034</v>
      </c>
      <c r="P30" s="7">
        <f>(P15+45095)/2</f>
        <v>24425</v>
      </c>
    </row>
    <row r="31" spans="1:16" ht="11.25">
      <c r="A31" s="13" t="s">
        <v>22</v>
      </c>
      <c r="B31" s="13"/>
      <c r="C31" s="31">
        <f aca="true" t="shared" si="8" ref="C31:I31">(C25+G25)/2</f>
        <v>4117.5</v>
      </c>
      <c r="D31" s="28">
        <f t="shared" si="8"/>
        <v>4609</v>
      </c>
      <c r="E31" s="28">
        <f t="shared" si="8"/>
        <v>4768</v>
      </c>
      <c r="F31" s="32">
        <f t="shared" si="8"/>
        <v>5102.5</v>
      </c>
      <c r="G31" s="31">
        <f t="shared" si="8"/>
        <v>5399.5</v>
      </c>
      <c r="H31" s="31">
        <f t="shared" si="8"/>
        <v>5497</v>
      </c>
      <c r="I31" s="31">
        <f t="shared" si="8"/>
        <v>5964</v>
      </c>
      <c r="J31" s="31">
        <f>+(J25+N25)/2</f>
        <v>6430</v>
      </c>
      <c r="K31" s="33">
        <f>+(K25+O25)/2</f>
        <v>6773.5</v>
      </c>
      <c r="L31" s="31">
        <f>+(7934+L25)/2</f>
        <v>6805</v>
      </c>
      <c r="M31" s="31">
        <f>+(13906+M25)/2</f>
        <v>10215.5</v>
      </c>
      <c r="N31" s="31">
        <f>+(14870+N25)/2</f>
        <v>10983.5</v>
      </c>
      <c r="O31" s="9">
        <f>(O25+P25)/2</f>
        <v>12823.5</v>
      </c>
      <c r="P31" s="9">
        <f>(P25+18439)/2</f>
        <v>18214</v>
      </c>
    </row>
    <row r="32" spans="1:16" ht="11.25">
      <c r="A32" s="20" t="s">
        <v>25</v>
      </c>
      <c r="D32" s="35"/>
      <c r="E32" s="35"/>
      <c r="F32" s="34"/>
      <c r="J32" s="27"/>
      <c r="K32" s="36"/>
      <c r="L32" s="14"/>
      <c r="M32" s="14"/>
      <c r="N32" s="14"/>
      <c r="O32" s="6"/>
      <c r="P32" s="6"/>
    </row>
    <row r="33" spans="1:16" ht="11.25">
      <c r="A33" s="26" t="s">
        <v>26</v>
      </c>
      <c r="C33" s="27">
        <v>2907</v>
      </c>
      <c r="D33" s="28">
        <v>2323</v>
      </c>
      <c r="E33" s="28">
        <v>1704</v>
      </c>
      <c r="F33" s="29">
        <v>656</v>
      </c>
      <c r="G33" s="27">
        <v>5345</v>
      </c>
      <c r="H33" s="27">
        <v>4440</v>
      </c>
      <c r="I33" s="27">
        <v>3019</v>
      </c>
      <c r="J33" s="27">
        <v>1600</v>
      </c>
      <c r="K33" s="30">
        <v>8921</v>
      </c>
      <c r="L33" s="28">
        <v>7007</v>
      </c>
      <c r="M33" s="28">
        <v>4886</v>
      </c>
      <c r="N33" s="28">
        <v>2591</v>
      </c>
      <c r="O33" s="7">
        <v>20029</v>
      </c>
      <c r="P33" s="7">
        <v>29346</v>
      </c>
    </row>
    <row r="34" spans="1:16" ht="11.25">
      <c r="A34" s="26" t="s">
        <v>27</v>
      </c>
      <c r="C34" s="27">
        <v>2328</v>
      </c>
      <c r="D34" s="28">
        <v>1880</v>
      </c>
      <c r="E34" s="28">
        <v>1352</v>
      </c>
      <c r="F34" s="29">
        <v>710</v>
      </c>
      <c r="G34" s="27">
        <v>4444</v>
      </c>
      <c r="H34" s="27">
        <v>3608</v>
      </c>
      <c r="I34" s="27">
        <v>2589</v>
      </c>
      <c r="J34" s="27">
        <v>1304</v>
      </c>
      <c r="K34" s="30">
        <v>7547</v>
      </c>
      <c r="L34" s="28">
        <v>5883</v>
      </c>
      <c r="M34" s="28">
        <v>4114</v>
      </c>
      <c r="N34" s="28">
        <v>2188</v>
      </c>
      <c r="O34" s="7">
        <v>17194</v>
      </c>
      <c r="P34" s="7">
        <v>20061</v>
      </c>
    </row>
    <row r="35" spans="1:16" ht="11.25">
      <c r="A35" s="26" t="s">
        <v>28</v>
      </c>
      <c r="C35" s="28">
        <f>+C33-C34</f>
        <v>579</v>
      </c>
      <c r="D35" s="28">
        <f>+D33-D34</f>
        <v>443</v>
      </c>
      <c r="E35" s="28">
        <f>+E33-E34</f>
        <v>352</v>
      </c>
      <c r="F35" s="29">
        <f>+F33-F34</f>
        <v>-54</v>
      </c>
      <c r="G35" s="37">
        <f>+G33-G34</f>
        <v>901</v>
      </c>
      <c r="H35" s="27">
        <f aca="true" t="shared" si="9" ref="H35:P35">H33-H34</f>
        <v>832</v>
      </c>
      <c r="I35" s="27">
        <f t="shared" si="9"/>
        <v>430</v>
      </c>
      <c r="J35" s="27">
        <f t="shared" si="9"/>
        <v>296</v>
      </c>
      <c r="K35" s="30">
        <f t="shared" si="9"/>
        <v>1374</v>
      </c>
      <c r="L35" s="28">
        <f t="shared" si="9"/>
        <v>1124</v>
      </c>
      <c r="M35" s="28">
        <f t="shared" si="9"/>
        <v>772</v>
      </c>
      <c r="N35" s="28">
        <f t="shared" si="9"/>
        <v>403</v>
      </c>
      <c r="O35" s="7">
        <f t="shared" si="9"/>
        <v>2835</v>
      </c>
      <c r="P35" s="7">
        <f t="shared" si="9"/>
        <v>9285</v>
      </c>
    </row>
    <row r="36" spans="1:16" ht="11.25">
      <c r="A36" s="26" t="s">
        <v>29</v>
      </c>
      <c r="C36" s="27">
        <v>203</v>
      </c>
      <c r="D36" s="28">
        <v>156</v>
      </c>
      <c r="E36" s="28">
        <v>105</v>
      </c>
      <c r="F36" s="29">
        <v>26</v>
      </c>
      <c r="G36" s="27">
        <v>304</v>
      </c>
      <c r="H36" s="27">
        <v>182</v>
      </c>
      <c r="I36" s="27">
        <v>145</v>
      </c>
      <c r="J36" s="27">
        <v>106</v>
      </c>
      <c r="K36" s="30">
        <v>180</v>
      </c>
      <c r="L36" s="28">
        <v>133</v>
      </c>
      <c r="M36" s="28">
        <v>93</v>
      </c>
      <c r="N36" s="28">
        <v>40</v>
      </c>
      <c r="O36" s="7">
        <v>2130</v>
      </c>
      <c r="P36" s="7">
        <v>6337</v>
      </c>
    </row>
    <row r="37" spans="1:16" ht="11.25">
      <c r="A37" s="26" t="s">
        <v>30</v>
      </c>
      <c r="C37" s="27">
        <f>+C36+C35</f>
        <v>782</v>
      </c>
      <c r="D37" s="28">
        <f>+D36+D35</f>
        <v>599</v>
      </c>
      <c r="E37" s="28">
        <f>+E36+E35</f>
        <v>457</v>
      </c>
      <c r="F37" s="29">
        <f>+F35+F36</f>
        <v>-28</v>
      </c>
      <c r="G37" s="37">
        <f>+G36+G35</f>
        <v>1205</v>
      </c>
      <c r="H37" s="27">
        <f>H35+H36</f>
        <v>1014</v>
      </c>
      <c r="I37" s="27">
        <v>575</v>
      </c>
      <c r="J37" s="27">
        <f aca="true" t="shared" si="10" ref="J37:P37">J35+J36</f>
        <v>402</v>
      </c>
      <c r="K37" s="30">
        <f t="shared" si="10"/>
        <v>1554</v>
      </c>
      <c r="L37" s="28">
        <f t="shared" si="10"/>
        <v>1257</v>
      </c>
      <c r="M37" s="28">
        <f t="shared" si="10"/>
        <v>865</v>
      </c>
      <c r="N37" s="28">
        <f t="shared" si="10"/>
        <v>443</v>
      </c>
      <c r="O37" s="7">
        <f t="shared" si="10"/>
        <v>4965</v>
      </c>
      <c r="P37" s="7">
        <f t="shared" si="10"/>
        <v>15622</v>
      </c>
    </row>
    <row r="38" spans="1:16" ht="11.25">
      <c r="A38" s="26" t="s">
        <v>31</v>
      </c>
      <c r="C38" s="27">
        <v>1954</v>
      </c>
      <c r="D38" s="28">
        <v>1209</v>
      </c>
      <c r="E38" s="28">
        <v>834</v>
      </c>
      <c r="F38" s="29">
        <v>440</v>
      </c>
      <c r="G38" s="27">
        <v>2165</v>
      </c>
      <c r="H38" s="27">
        <v>1584</v>
      </c>
      <c r="I38" s="27">
        <v>1061</v>
      </c>
      <c r="J38" s="27">
        <v>528</v>
      </c>
      <c r="K38" s="30">
        <v>3571</v>
      </c>
      <c r="L38" s="28">
        <v>2944</v>
      </c>
      <c r="M38" s="28">
        <v>1998</v>
      </c>
      <c r="N38" s="28">
        <v>1003</v>
      </c>
      <c r="O38" s="7">
        <v>5435</v>
      </c>
      <c r="P38" s="7">
        <v>5507</v>
      </c>
    </row>
    <row r="39" spans="1:16" ht="11.25">
      <c r="A39" s="26" t="s">
        <v>32</v>
      </c>
      <c r="C39" s="37">
        <f>+C37-C38</f>
        <v>-1172</v>
      </c>
      <c r="D39" s="28">
        <f>+D37-D38</f>
        <v>-610</v>
      </c>
      <c r="E39" s="28">
        <f>+E37-E38</f>
        <v>-377</v>
      </c>
      <c r="F39" s="29">
        <f>+F37-F38</f>
        <v>-468</v>
      </c>
      <c r="G39" s="37">
        <f>+G37-G38</f>
        <v>-960</v>
      </c>
      <c r="H39" s="27">
        <f aca="true" t="shared" si="11" ref="H39:P39">H37-H38</f>
        <v>-570</v>
      </c>
      <c r="I39" s="27">
        <f t="shared" si="11"/>
        <v>-486</v>
      </c>
      <c r="J39" s="27">
        <f t="shared" si="11"/>
        <v>-126</v>
      </c>
      <c r="K39" s="30">
        <f t="shared" si="11"/>
        <v>-2017</v>
      </c>
      <c r="L39" s="28">
        <f t="shared" si="11"/>
        <v>-1687</v>
      </c>
      <c r="M39" s="28">
        <f t="shared" si="11"/>
        <v>-1133</v>
      </c>
      <c r="N39" s="28">
        <f t="shared" si="11"/>
        <v>-560</v>
      </c>
      <c r="O39" s="7">
        <f t="shared" si="11"/>
        <v>-470</v>
      </c>
      <c r="P39" s="7">
        <f t="shared" si="11"/>
        <v>10115</v>
      </c>
    </row>
    <row r="40" spans="1:16" ht="11.25">
      <c r="A40" s="13" t="s">
        <v>33</v>
      </c>
      <c r="B40" s="13"/>
      <c r="C40" s="38">
        <f>+C39-399</f>
        <v>-1571</v>
      </c>
      <c r="D40" s="31">
        <v>-1010</v>
      </c>
      <c r="E40" s="31">
        <v>-776</v>
      </c>
      <c r="F40" s="32">
        <v>-468</v>
      </c>
      <c r="G40" s="31">
        <v>-960</v>
      </c>
      <c r="H40" s="31">
        <v>-570</v>
      </c>
      <c r="I40" s="31">
        <v>-486</v>
      </c>
      <c r="J40" s="31">
        <v>-126</v>
      </c>
      <c r="K40" s="33">
        <v>-5837</v>
      </c>
      <c r="L40" s="31">
        <v>-1980</v>
      </c>
      <c r="M40" s="31">
        <v>-1133</v>
      </c>
      <c r="N40" s="31">
        <v>-560</v>
      </c>
      <c r="O40" s="9">
        <v>-1365</v>
      </c>
      <c r="P40" s="9">
        <v>164</v>
      </c>
    </row>
    <row r="41" spans="1:16" ht="11.25">
      <c r="A41" s="20" t="s">
        <v>34</v>
      </c>
      <c r="B41" s="15"/>
      <c r="C41" s="14"/>
      <c r="D41" s="27"/>
      <c r="E41" s="28"/>
      <c r="F41" s="29"/>
      <c r="G41" s="14"/>
      <c r="H41" s="14"/>
      <c r="I41" s="27"/>
      <c r="J41" s="15"/>
      <c r="K41" s="39"/>
      <c r="L41" s="15"/>
      <c r="M41" s="15"/>
      <c r="N41" s="14"/>
      <c r="O41" s="3"/>
      <c r="P41" s="3"/>
    </row>
    <row r="42" spans="1:16" ht="11.25">
      <c r="A42" s="26" t="s">
        <v>35</v>
      </c>
      <c r="B42" s="14"/>
      <c r="C42" s="28">
        <v>2027</v>
      </c>
      <c r="D42" s="27">
        <v>2290</v>
      </c>
      <c r="E42" s="28">
        <v>2290</v>
      </c>
      <c r="F42" s="29">
        <v>11425</v>
      </c>
      <c r="G42" s="28">
        <v>11446</v>
      </c>
      <c r="H42" s="27">
        <v>11222</v>
      </c>
      <c r="I42" s="27">
        <v>11222</v>
      </c>
      <c r="J42" s="28">
        <v>11258</v>
      </c>
      <c r="K42" s="30">
        <v>10826</v>
      </c>
      <c r="L42" s="28">
        <v>10937</v>
      </c>
      <c r="M42" s="28">
        <v>7754</v>
      </c>
      <c r="N42" s="28">
        <v>6290</v>
      </c>
      <c r="O42" s="8">
        <v>6290</v>
      </c>
      <c r="P42" s="8">
        <v>4153</v>
      </c>
    </row>
    <row r="43" spans="1:16" ht="11.25">
      <c r="A43" s="26" t="s">
        <v>36</v>
      </c>
      <c r="B43" s="14"/>
      <c r="C43" s="28">
        <v>1112</v>
      </c>
      <c r="D43" s="27">
        <v>1682</v>
      </c>
      <c r="E43" s="28">
        <v>1683</v>
      </c>
      <c r="F43" s="29">
        <v>10827</v>
      </c>
      <c r="G43" s="28">
        <v>10827</v>
      </c>
      <c r="H43" s="27">
        <v>10879</v>
      </c>
      <c r="I43" s="27">
        <v>10879</v>
      </c>
      <c r="J43" s="28">
        <v>10879</v>
      </c>
      <c r="K43" s="30">
        <v>10952</v>
      </c>
      <c r="L43" s="28">
        <v>6922</v>
      </c>
      <c r="M43" s="28">
        <v>6628</v>
      </c>
      <c r="N43" s="28">
        <v>6628</v>
      </c>
      <c r="O43" s="8">
        <v>6628</v>
      </c>
      <c r="P43" s="8">
        <v>1569</v>
      </c>
    </row>
    <row r="44" spans="1:16" ht="11.25">
      <c r="A44" s="26" t="s">
        <v>37</v>
      </c>
      <c r="B44" s="14"/>
      <c r="C44" s="40">
        <f aca="true" t="shared" si="12" ref="C44:P44">C42/C12</f>
        <v>0.08107027156741191</v>
      </c>
      <c r="D44" s="40">
        <f t="shared" si="12"/>
        <v>0.0837723148961077</v>
      </c>
      <c r="E44" s="40">
        <f t="shared" si="12"/>
        <v>0.08271328469262443</v>
      </c>
      <c r="F44" s="41">
        <f t="shared" si="12"/>
        <v>0.46787337728817724</v>
      </c>
      <c r="G44" s="42">
        <f t="shared" si="12"/>
        <v>0.4459248870188562</v>
      </c>
      <c r="H44" s="42">
        <f t="shared" si="12"/>
        <v>0.32082106406701166</v>
      </c>
      <c r="I44" s="42">
        <f t="shared" si="12"/>
        <v>0.21379717655127742</v>
      </c>
      <c r="J44" s="40">
        <f t="shared" si="12"/>
        <v>0.2004986642920748</v>
      </c>
      <c r="K44" s="43">
        <f t="shared" si="12"/>
        <v>0.17707481435441133</v>
      </c>
      <c r="L44" s="40">
        <f t="shared" si="12"/>
        <v>0.18010407403747983</v>
      </c>
      <c r="M44" s="40">
        <f t="shared" si="12"/>
        <v>0.12954423950815291</v>
      </c>
      <c r="N44" s="40">
        <f t="shared" si="12"/>
        <v>0.09437784146323165</v>
      </c>
      <c r="O44" s="10">
        <f t="shared" si="12"/>
        <v>0.08454073815220021</v>
      </c>
      <c r="P44" s="10">
        <f t="shared" si="12"/>
        <v>0.024830942714841764</v>
      </c>
    </row>
    <row r="45" spans="1:16" ht="11.25">
      <c r="A45" s="14" t="s">
        <v>38</v>
      </c>
      <c r="B45" s="14"/>
      <c r="C45" s="40">
        <f aca="true" t="shared" si="13" ref="C45:P45">C43/C42</f>
        <v>0.5485939812530833</v>
      </c>
      <c r="D45" s="40">
        <f t="shared" si="13"/>
        <v>0.7344978165938865</v>
      </c>
      <c r="E45" s="40">
        <f t="shared" si="13"/>
        <v>0.7349344978165939</v>
      </c>
      <c r="F45" s="41">
        <f t="shared" si="13"/>
        <v>0.9476586433260394</v>
      </c>
      <c r="G45" s="40">
        <f t="shared" si="13"/>
        <v>0.945919972042635</v>
      </c>
      <c r="H45" s="40">
        <f t="shared" si="13"/>
        <v>0.9694350383175905</v>
      </c>
      <c r="I45" s="40">
        <f t="shared" si="13"/>
        <v>0.9694350383175905</v>
      </c>
      <c r="J45" s="40">
        <f t="shared" si="13"/>
        <v>0.9663350506306626</v>
      </c>
      <c r="K45" s="43">
        <f t="shared" si="13"/>
        <v>1.0116386476999815</v>
      </c>
      <c r="L45" s="40">
        <f t="shared" si="13"/>
        <v>0.6328975038858919</v>
      </c>
      <c r="M45" s="40">
        <f t="shared" si="13"/>
        <v>0.8547846272891411</v>
      </c>
      <c r="N45" s="40">
        <f t="shared" si="13"/>
        <v>1.0537360890302068</v>
      </c>
      <c r="O45" s="10">
        <f t="shared" si="13"/>
        <v>1.0537360890302068</v>
      </c>
      <c r="P45" s="10">
        <f t="shared" si="13"/>
        <v>0.37779918131471224</v>
      </c>
    </row>
    <row r="46" spans="1:16" ht="11.25">
      <c r="A46" s="26" t="s">
        <v>39</v>
      </c>
      <c r="B46" s="13"/>
      <c r="C46" s="44">
        <f aca="true" t="shared" si="14" ref="C46:I46">C43/C12</f>
        <v>0.044474663040435146</v>
      </c>
      <c r="D46" s="44">
        <f t="shared" si="14"/>
        <v>0.061530582382206614</v>
      </c>
      <c r="E46" s="44">
        <f t="shared" si="14"/>
        <v>0.060788846348334896</v>
      </c>
      <c r="F46" s="45">
        <f t="shared" si="14"/>
        <v>0.4433842499692862</v>
      </c>
      <c r="G46" s="44">
        <f t="shared" si="14"/>
        <v>0.4218092566619916</v>
      </c>
      <c r="H46" s="44">
        <f t="shared" si="14"/>
        <v>0.3110151805368936</v>
      </c>
      <c r="I46" s="44">
        <f t="shared" si="14"/>
        <v>0.20726247404218026</v>
      </c>
      <c r="J46" s="44">
        <f>+J43/J12</f>
        <v>0.19374888691006234</v>
      </c>
      <c r="K46" s="46">
        <f>10952/K12</f>
        <v>0.17913572573522196</v>
      </c>
      <c r="L46" s="44">
        <f>6922/L12</f>
        <v>0.11398741889800086</v>
      </c>
      <c r="M46" s="44">
        <f>6628/M12</f>
        <v>0.1107324244854317</v>
      </c>
      <c r="N46" s="44">
        <f>6628/N12</f>
        <v>0.0994493375545786</v>
      </c>
      <c r="O46" s="12">
        <f>6628/O12</f>
        <v>0.08908362678422622</v>
      </c>
      <c r="P46" s="12">
        <f>1569/P12</f>
        <v>0.009381109828939737</v>
      </c>
    </row>
    <row r="47" spans="1:16" ht="11.25">
      <c r="A47" s="20" t="s">
        <v>40</v>
      </c>
      <c r="E47" s="28"/>
      <c r="F47" s="34"/>
      <c r="G47" s="15"/>
      <c r="H47" s="15"/>
      <c r="I47" s="15"/>
      <c r="J47" s="15"/>
      <c r="K47" s="39"/>
      <c r="L47" s="15"/>
      <c r="M47" s="15"/>
      <c r="N47" s="14"/>
      <c r="O47" s="3"/>
      <c r="P47" s="3"/>
    </row>
    <row r="48" spans="1:16" ht="11.25">
      <c r="A48" s="26" t="s">
        <v>41</v>
      </c>
      <c r="C48" s="40">
        <f>+C25/C12</f>
        <v>0.1329840419149702</v>
      </c>
      <c r="D48" s="40">
        <f>+D25/D12</f>
        <v>0.14266900790166814</v>
      </c>
      <c r="E48" s="40">
        <f>+E25/E12</f>
        <v>0.14928122516795492</v>
      </c>
      <c r="F48" s="41">
        <f aca="true" t="shared" si="15" ref="F48:P48">F25/F12</f>
        <v>0.18190753102092633</v>
      </c>
      <c r="G48" s="40">
        <f t="shared" si="15"/>
        <v>0.1912887642200405</v>
      </c>
      <c r="H48" s="40">
        <f t="shared" si="15"/>
        <v>0.1520340775894108</v>
      </c>
      <c r="I48" s="40">
        <f t="shared" si="15"/>
        <v>0.10293585322639029</v>
      </c>
      <c r="J48" s="41">
        <f t="shared" si="15"/>
        <v>0.10263579697239537</v>
      </c>
      <c r="K48" s="40">
        <f t="shared" si="15"/>
        <v>0.09632307239360136</v>
      </c>
      <c r="L48" s="40">
        <f t="shared" si="15"/>
        <v>0.09346902479992096</v>
      </c>
      <c r="M48" s="40">
        <f t="shared" si="15"/>
        <v>0.10901162790697674</v>
      </c>
      <c r="N48" s="40">
        <f t="shared" si="15"/>
        <v>0.10648641349198014</v>
      </c>
      <c r="O48" s="10">
        <f t="shared" si="15"/>
        <v>0.1029273406628854</v>
      </c>
      <c r="P48" s="10">
        <f t="shared" si="15"/>
        <v>0.10755690548935433</v>
      </c>
    </row>
    <row r="49" spans="1:16" ht="11.25">
      <c r="A49" s="13" t="s">
        <v>42</v>
      </c>
      <c r="B49" s="13"/>
      <c r="C49" s="44">
        <f aca="true" t="shared" si="16" ref="C49:P49">C25/(C12+C15)</f>
        <v>0.13269215420225078</v>
      </c>
      <c r="D49" s="44">
        <f t="shared" si="16"/>
        <v>0.14238253440911247</v>
      </c>
      <c r="E49" s="44">
        <f t="shared" si="16"/>
        <v>0.14898525647957897</v>
      </c>
      <c r="F49" s="45">
        <f t="shared" si="16"/>
        <v>0.1814987333496772</v>
      </c>
      <c r="G49" s="44">
        <f t="shared" si="16"/>
        <v>0.1908797574155425</v>
      </c>
      <c r="H49" s="44">
        <f t="shared" si="16"/>
        <v>0.15179539875549466</v>
      </c>
      <c r="I49" s="44">
        <f t="shared" si="16"/>
        <v>0.10282810596833131</v>
      </c>
      <c r="J49" s="45">
        <f t="shared" si="16"/>
        <v>0.10253536162263144</v>
      </c>
      <c r="K49" s="44">
        <f t="shared" si="16"/>
        <v>0.09609359702369297</v>
      </c>
      <c r="L49" s="44">
        <f t="shared" si="16"/>
        <v>0.09310718152291592</v>
      </c>
      <c r="M49" s="44">
        <f t="shared" si="16"/>
        <v>0.10858350529188578</v>
      </c>
      <c r="N49" s="44">
        <f t="shared" si="16"/>
        <v>0.10598864994026284</v>
      </c>
      <c r="O49" s="12">
        <f t="shared" si="16"/>
        <v>0.10249615204443552</v>
      </c>
      <c r="P49" s="12">
        <f t="shared" si="16"/>
        <v>0.10519513935183561</v>
      </c>
    </row>
    <row r="50" spans="1:16" ht="11.25">
      <c r="A50" s="20" t="s">
        <v>43</v>
      </c>
      <c r="C50" s="28"/>
      <c r="D50" s="28"/>
      <c r="E50" s="28"/>
      <c r="F50" s="34"/>
      <c r="K50" s="36"/>
      <c r="L50" s="14"/>
      <c r="M50" s="14"/>
      <c r="N50" s="14"/>
      <c r="O50" s="6"/>
      <c r="P50" s="6"/>
    </row>
    <row r="51" spans="1:16" ht="11.25">
      <c r="A51" s="26" t="s">
        <v>44</v>
      </c>
      <c r="C51" s="40">
        <f aca="true" t="shared" si="17" ref="C51:P51">C11/C16</f>
        <v>0.23240476115699885</v>
      </c>
      <c r="D51" s="40">
        <f t="shared" si="17"/>
        <v>0.22166261433368067</v>
      </c>
      <c r="E51" s="40">
        <f t="shared" si="17"/>
        <v>0.2866668423688164</v>
      </c>
      <c r="F51" s="47">
        <f t="shared" si="17"/>
        <v>0.6388479536699501</v>
      </c>
      <c r="G51" s="48">
        <f t="shared" si="17"/>
        <v>0.6298632237639435</v>
      </c>
      <c r="H51" s="48">
        <f t="shared" si="17"/>
        <v>0.4717547432736628</v>
      </c>
      <c r="I51" s="48">
        <f t="shared" si="17"/>
        <v>0.42260696740241016</v>
      </c>
      <c r="J51" s="42">
        <f t="shared" si="17"/>
        <v>0.31228485370051634</v>
      </c>
      <c r="K51" s="43">
        <f t="shared" si="17"/>
        <v>0.2334319253165727</v>
      </c>
      <c r="L51" s="40">
        <f t="shared" si="17"/>
        <v>0.2387756541363989</v>
      </c>
      <c r="M51" s="40">
        <f t="shared" si="17"/>
        <v>0.26797548734159665</v>
      </c>
      <c r="N51" s="40">
        <f t="shared" si="17"/>
        <v>0.26725066066359987</v>
      </c>
      <c r="O51" s="11">
        <f t="shared" si="17"/>
        <v>0.23674831186873</v>
      </c>
      <c r="P51" s="11">
        <f t="shared" si="17"/>
        <v>0.34341175893528664</v>
      </c>
    </row>
    <row r="52" spans="1:16" ht="11.25">
      <c r="A52" s="26" t="s">
        <v>45</v>
      </c>
      <c r="C52" s="40">
        <f aca="true" t="shared" si="18" ref="C52:P52">C11/C10</f>
        <v>0.19751241125286928</v>
      </c>
      <c r="D52" s="40">
        <f t="shared" si="18"/>
        <v>0.18637137989778535</v>
      </c>
      <c r="E52" s="40">
        <f t="shared" si="18"/>
        <v>0.24320275467310618</v>
      </c>
      <c r="F52" s="47">
        <f t="shared" si="18"/>
        <v>0.44825396825396824</v>
      </c>
      <c r="G52" s="48">
        <f t="shared" si="18"/>
        <v>0.4441692538458855</v>
      </c>
      <c r="H52" s="48">
        <f t="shared" si="18"/>
        <v>0.34732854549759296</v>
      </c>
      <c r="I52" s="48">
        <f t="shared" si="18"/>
        <v>0.338039206905431</v>
      </c>
      <c r="J52" s="42">
        <f t="shared" si="18"/>
        <v>0.2439993756228762</v>
      </c>
      <c r="K52" s="43">
        <f t="shared" si="18"/>
        <v>0.18164708702948934</v>
      </c>
      <c r="L52" s="40">
        <f t="shared" si="18"/>
        <v>0.19704112395385923</v>
      </c>
      <c r="M52" s="40">
        <f t="shared" si="18"/>
        <v>0.22074006395614434</v>
      </c>
      <c r="N52" s="40">
        <f t="shared" si="18"/>
        <v>0.2240800960167414</v>
      </c>
      <c r="O52" s="11">
        <f t="shared" si="18"/>
        <v>0.19901597603116714</v>
      </c>
      <c r="P52" s="11">
        <f t="shared" si="18"/>
        <v>0.3123779991299595</v>
      </c>
    </row>
    <row r="53" spans="1:16" ht="11.25">
      <c r="A53" s="13" t="s">
        <v>46</v>
      </c>
      <c r="B53" s="13"/>
      <c r="C53" s="44">
        <f aca="true" t="shared" si="19" ref="C53:P53">(C11+C15)/C16</f>
        <v>0.23413209384127384</v>
      </c>
      <c r="D53" s="44">
        <f t="shared" si="19"/>
        <v>0.22325460229246266</v>
      </c>
      <c r="E53" s="44">
        <f t="shared" si="19"/>
        <v>0.28811638510397175</v>
      </c>
      <c r="F53" s="49">
        <f t="shared" si="19"/>
        <v>0.6402699139067711</v>
      </c>
      <c r="G53" s="50">
        <f t="shared" si="19"/>
        <v>0.6312235660755361</v>
      </c>
      <c r="H53" s="50">
        <f t="shared" si="19"/>
        <v>0.47293386215028405</v>
      </c>
      <c r="I53" s="50">
        <f t="shared" si="19"/>
        <v>0.4233767687936512</v>
      </c>
      <c r="J53" s="44">
        <f t="shared" si="19"/>
        <v>0.3131300713056307</v>
      </c>
      <c r="K53" s="46">
        <f t="shared" si="19"/>
        <v>0.23568105493422067</v>
      </c>
      <c r="L53" s="44">
        <f t="shared" si="19"/>
        <v>0.24210452077015304</v>
      </c>
      <c r="M53" s="44">
        <f t="shared" si="19"/>
        <v>0.2712475390289216</v>
      </c>
      <c r="N53" s="44">
        <f t="shared" si="19"/>
        <v>0.2710800626406969</v>
      </c>
      <c r="O53" s="12">
        <f t="shared" si="19"/>
        <v>0.24031246085698996</v>
      </c>
      <c r="P53" s="12">
        <f t="shared" si="19"/>
        <v>0.3587603413884438</v>
      </c>
    </row>
    <row r="54" spans="1:16" ht="11.25">
      <c r="A54" s="20" t="s">
        <v>47</v>
      </c>
      <c r="D54" s="28"/>
      <c r="E54" s="28"/>
      <c r="F54" s="34"/>
      <c r="K54" s="36"/>
      <c r="L54" s="14"/>
      <c r="M54" s="14"/>
      <c r="N54" s="14"/>
      <c r="O54" s="6"/>
      <c r="P54" s="6"/>
    </row>
    <row r="55" spans="1:16" ht="11.25">
      <c r="A55" s="26" t="s">
        <v>48</v>
      </c>
      <c r="B55" s="14"/>
      <c r="C55" s="51">
        <f>C40/C28</f>
        <v>-0.061873535377404934</v>
      </c>
      <c r="D55" s="40">
        <f>(D40/0.75)/D28</f>
        <v>-0.043145107462288085</v>
      </c>
      <c r="E55" s="40">
        <f>(E40/0.5)/E28</f>
        <v>-0.03866226567852027</v>
      </c>
      <c r="F55" s="41">
        <f>((F40)/0.25)/F28</f>
        <v>-0.04640612798869594</v>
      </c>
      <c r="G55" s="51">
        <f>G40/G28</f>
        <v>-0.0220671899962072</v>
      </c>
      <c r="H55" s="51">
        <f>(H40/0.75)/H28</f>
        <v>-0.015833993083045127</v>
      </c>
      <c r="I55" s="42">
        <f>(I40/0.5)/I28</f>
        <v>-0.017259135622713875</v>
      </c>
      <c r="J55" s="42">
        <f>((J40)/0.25)/J28</f>
        <v>-0.008184143222506393</v>
      </c>
      <c r="K55" s="52">
        <f>K40/K28</f>
        <v>-0.0858388664622534</v>
      </c>
      <c r="L55" s="51">
        <f>(L40/0.75)/L28</f>
        <v>-0.03497800625364354</v>
      </c>
      <c r="M55" s="51">
        <f>(M40/0.5)/M28</f>
        <v>-0.02687508895108876</v>
      </c>
      <c r="N55" s="40">
        <f>((N40)/0.25)/N28</f>
        <v>-0.018575723022701357</v>
      </c>
      <c r="O55" s="11">
        <f>O40/O28</f>
        <v>-0.011110161524656012</v>
      </c>
      <c r="P55" s="11">
        <f>P40/P28</f>
        <v>0.0007836204219127028</v>
      </c>
    </row>
    <row r="56" spans="1:16" ht="11.25">
      <c r="A56" s="26" t="s">
        <v>49</v>
      </c>
      <c r="B56" s="14"/>
      <c r="C56" s="51">
        <f>C40/C27</f>
        <v>-0.033143459915611816</v>
      </c>
      <c r="D56" s="40">
        <f>(D40/0.75)/D27</f>
        <v>-0.025787096877144273</v>
      </c>
      <c r="E56" s="40">
        <f>(E40/0.5)/E27</f>
        <v>-0.023156402700585624</v>
      </c>
      <c r="F56" s="41">
        <f>((F40)/0.25)/F27</f>
        <v>-0.027050459511010923</v>
      </c>
      <c r="G56" s="51">
        <f>G40/G27</f>
        <v>-0.013640820154311778</v>
      </c>
      <c r="H56" s="51">
        <f>(H40/0.75)/H27</f>
        <v>-0.010183162944006003</v>
      </c>
      <c r="I56" s="42">
        <f>(I40/0.5)/I27</f>
        <v>-0.010990439900271935</v>
      </c>
      <c r="J56" s="42">
        <f>((J40)/0.25)/J27</f>
        <v>-0.005576269873759446</v>
      </c>
      <c r="K56" s="52">
        <f>K40/K27</f>
        <v>-0.062132429253442194</v>
      </c>
      <c r="L56" s="51">
        <f>(L40/0.75)/L27</f>
        <v>-0.02405960219635005</v>
      </c>
      <c r="M56" s="51">
        <f>(M40/0.5)/M27</f>
        <v>-0.0182207802128438</v>
      </c>
      <c r="N56" s="40">
        <f>((N40)/0.25)/N27</f>
        <v>-0.013453817070131024</v>
      </c>
      <c r="O56" s="11">
        <f>O40/O27</f>
        <v>-0.007310763693622765</v>
      </c>
      <c r="P56" s="11">
        <f>P40/P27</f>
        <v>0.0005396947104982139</v>
      </c>
    </row>
    <row r="57" spans="1:16" ht="11.25">
      <c r="A57" s="26" t="s">
        <v>50</v>
      </c>
      <c r="B57" s="14"/>
      <c r="C57" s="51">
        <f>+C40/C31</f>
        <v>-0.38154219793564054</v>
      </c>
      <c r="D57" s="40">
        <f>(D40/0.75)/D31</f>
        <v>-0.2921819628263542</v>
      </c>
      <c r="E57" s="40">
        <f>(E40/0.5)/E31</f>
        <v>-0.32550335570469796</v>
      </c>
      <c r="F57" s="41">
        <f>((F40)/0.25)/F31</f>
        <v>-0.3668789808917197</v>
      </c>
      <c r="G57" s="51">
        <f>+G40/G31</f>
        <v>-0.17779424020742662</v>
      </c>
      <c r="H57" s="51">
        <f>(H40/0.75)/H31</f>
        <v>-0.13825723121702746</v>
      </c>
      <c r="I57" s="42">
        <f>(I40/0.5)/I31</f>
        <v>-0.16297786720321933</v>
      </c>
      <c r="J57" s="42">
        <f>((J40)/0.25)/J31</f>
        <v>-0.07838258164852255</v>
      </c>
      <c r="K57" s="52">
        <f>+K40/K31</f>
        <v>-0.8617406067764081</v>
      </c>
      <c r="L57" s="51">
        <f>(L40/0.75)/L31</f>
        <v>-0.38795003673769285</v>
      </c>
      <c r="M57" s="51">
        <f>(M40/0.5)/M31</f>
        <v>-0.22181978366208213</v>
      </c>
      <c r="N57" s="40">
        <f>((N40)/0.25)/N31</f>
        <v>-0.20394227705194154</v>
      </c>
      <c r="O57" s="11">
        <f>O40/O31</f>
        <v>-0.10644519826880337</v>
      </c>
      <c r="P57" s="11">
        <f>P40/P31</f>
        <v>0.009004062808828374</v>
      </c>
    </row>
    <row r="58" spans="1:16" ht="11.25">
      <c r="A58" s="26" t="s">
        <v>51</v>
      </c>
      <c r="B58" s="14"/>
      <c r="C58" s="51">
        <f>C33/C28</f>
        <v>0.11449164057423052</v>
      </c>
      <c r="D58" s="40">
        <f>(D33/0.75)/D28</f>
        <v>0.09923374716326258</v>
      </c>
      <c r="E58" s="40">
        <f>(E33/0.5)/E28</f>
        <v>0.08489755246932802</v>
      </c>
      <c r="F58" s="41">
        <f>((F33)/0.25)/F28</f>
        <v>0.06504790589868491</v>
      </c>
      <c r="G58" s="51">
        <f>G33/G28</f>
        <v>0.12286367763513281</v>
      </c>
      <c r="H58" s="51">
        <f>(H33/0.75)/H28</f>
        <v>0.12333847243635152</v>
      </c>
      <c r="I58" s="42">
        <f>(I33/0.5)/I28</f>
        <v>0.10721261408430698</v>
      </c>
      <c r="J58" s="42">
        <f>((J33)/0.25)/J28</f>
        <v>0.10392562822230342</v>
      </c>
      <c r="K58" s="52">
        <f>K33/K28</f>
        <v>0.13119214111868469</v>
      </c>
      <c r="L58" s="51">
        <f>(L33/0.75)/L28</f>
        <v>0.1237832776865052</v>
      </c>
      <c r="M58" s="51">
        <f>(M33/0.5)/M28</f>
        <v>0.11589733858342426</v>
      </c>
      <c r="N58" s="40">
        <f>((N33)/0.25)/N28</f>
        <v>0.08594588991396289</v>
      </c>
      <c r="O58" s="11">
        <f>O33/O28</f>
        <v>0.16302228950720532</v>
      </c>
      <c r="P58" s="11">
        <f>P33/P27</f>
        <v>0.09657244496512551</v>
      </c>
    </row>
    <row r="59" spans="1:16" ht="11.25">
      <c r="A59" s="26" t="s">
        <v>52</v>
      </c>
      <c r="B59" s="14"/>
      <c r="C59" s="51">
        <f>C34/C28</f>
        <v>0.09168783600165416</v>
      </c>
      <c r="D59" s="40">
        <f>(D34/0.75)/D28</f>
        <v>0.0803097049793085</v>
      </c>
      <c r="E59" s="40">
        <f>(E34/0.5)/E28</f>
        <v>0.0673600298935044</v>
      </c>
      <c r="F59" s="41">
        <f>((F34)/0.25)/F28</f>
        <v>0.07040245912814982</v>
      </c>
      <c r="G59" s="51">
        <f>G34/G28</f>
        <v>0.1021527003574425</v>
      </c>
      <c r="H59" s="51">
        <f>(H34/0.75)/H28</f>
        <v>0.10022639832215231</v>
      </c>
      <c r="I59" s="42">
        <f>(I34/0.5)/I28</f>
        <v>0.09194218544692638</v>
      </c>
      <c r="J59" s="42">
        <f>((J34)/0.25)/J28</f>
        <v>0.08469938700117728</v>
      </c>
      <c r="K59" s="52">
        <f>K34/K28</f>
        <v>0.1109861101919867</v>
      </c>
      <c r="L59" s="51">
        <f>(L34/0.75)/L28</f>
        <v>0.10392707615665907</v>
      </c>
      <c r="M59" s="51">
        <f>(M34/0.5)/M28</f>
        <v>0.0975852744437592</v>
      </c>
      <c r="N59" s="40">
        <f>((N34)/0.25)/N28</f>
        <v>0.07257800352441174</v>
      </c>
      <c r="O59" s="11">
        <f>O34/O28</f>
        <v>0.1399473386483044</v>
      </c>
      <c r="P59" s="11">
        <f>P34/P27</f>
        <v>0.06601716821527237</v>
      </c>
    </row>
    <row r="60" spans="1:16" ht="11.25">
      <c r="A60" s="26" t="s">
        <v>53</v>
      </c>
      <c r="B60" s="14"/>
      <c r="C60" s="51">
        <f>C35/C28</f>
        <v>0.02280380457257636</v>
      </c>
      <c r="D60" s="40">
        <f>(D35/0.75)/D28</f>
        <v>0.018924042183954076</v>
      </c>
      <c r="E60" s="40">
        <f>(E35/0.5)/E28</f>
        <v>0.017537522575823628</v>
      </c>
      <c r="F60" s="41">
        <f>((F35)/0.25)/F28</f>
        <v>-0.005354553229464916</v>
      </c>
      <c r="G60" s="51">
        <f>G35/G28</f>
        <v>0.0207109772776903</v>
      </c>
      <c r="H60" s="51">
        <f>(H35/0.75)/H28</f>
        <v>0.023112074114199202</v>
      </c>
      <c r="I60" s="42">
        <f>(I35/0.5)/I28</f>
        <v>0.015270428637380588</v>
      </c>
      <c r="J60" s="42">
        <f>((J35)/0.25)/J28</f>
        <v>0.019226241221126133</v>
      </c>
      <c r="K60" s="52">
        <f>K35/K28</f>
        <v>0.02020603092669799</v>
      </c>
      <c r="L60" s="51">
        <f>(L35/0.75)/L28</f>
        <v>0.019856201529846133</v>
      </c>
      <c r="M60" s="51">
        <f>(M35/0.5)/M28</f>
        <v>0.01831206413966507</v>
      </c>
      <c r="N60" s="40">
        <f>((N35)/0.25)/N28</f>
        <v>0.013367886389551156</v>
      </c>
      <c r="O60" s="11">
        <f>O35/O28</f>
        <v>0.023074950858900947</v>
      </c>
      <c r="P60" s="11">
        <f>P35/P27</f>
        <v>0.030555276749853148</v>
      </c>
    </row>
    <row r="61" spans="1:16" ht="11.25">
      <c r="A61" s="26" t="s">
        <v>54</v>
      </c>
      <c r="B61" s="14"/>
      <c r="C61" s="51">
        <f>C38/C37</f>
        <v>2.498721227621483</v>
      </c>
      <c r="D61" s="40">
        <f>(D38/0.75)/(D37/0.75)</f>
        <v>2.018363939899833</v>
      </c>
      <c r="E61" s="40">
        <f>(E38/0.5)/(E37/0.5)</f>
        <v>1.824945295404814</v>
      </c>
      <c r="F61" s="41">
        <f>(F38/0.25)/(F37/0.25)</f>
        <v>-15.714285714285714</v>
      </c>
      <c r="G61" s="51">
        <f>G38/G37</f>
        <v>1.7966804979253113</v>
      </c>
      <c r="H61" s="51">
        <f>(H38/0.75)/(H37/0.75)</f>
        <v>1.5621301775147929</v>
      </c>
      <c r="I61" s="42">
        <f>(I38/0.5)/(I37/0.5)</f>
        <v>1.845217391304348</v>
      </c>
      <c r="J61" s="42">
        <f>(J38/0.25)/(J37/0.25)</f>
        <v>1.3134328358208955</v>
      </c>
      <c r="K61" s="52">
        <f>K38/K37</f>
        <v>2.297940797940798</v>
      </c>
      <c r="L61" s="51">
        <f>(L38/0.75)/(L37/0.75)</f>
        <v>2.342084327764519</v>
      </c>
      <c r="M61" s="51">
        <f>(M38/0.5)/(M37/0.5)</f>
        <v>2.309826589595376</v>
      </c>
      <c r="N61" s="40">
        <f>(N38/0.25)/(N37/0.25)</f>
        <v>2.2641083521444694</v>
      </c>
      <c r="O61" s="11">
        <f>O38/O37</f>
        <v>1.094662638469285</v>
      </c>
      <c r="P61" s="11">
        <f>P38/P37</f>
        <v>0.3525156830111381</v>
      </c>
    </row>
    <row r="62" spans="1:16" ht="11.25">
      <c r="A62" s="13" t="s">
        <v>55</v>
      </c>
      <c r="B62" s="13"/>
      <c r="C62" s="53">
        <f>C36/C28</f>
        <v>0.007995116283649396</v>
      </c>
      <c r="D62" s="44">
        <f>(D36/0.75)/D28</f>
        <v>0.0066639967961553866</v>
      </c>
      <c r="E62" s="44">
        <f>(E36/0.5)/E28</f>
        <v>0.00523136326835648</v>
      </c>
      <c r="F62" s="45">
        <f>(F36/0.25)/F28</f>
        <v>0.002578118221594219</v>
      </c>
      <c r="G62" s="53">
        <f>G36/G28</f>
        <v>0.006987943498798947</v>
      </c>
      <c r="H62" s="53">
        <f>(H36/0.75)/H28</f>
        <v>0.005055766212481075</v>
      </c>
      <c r="I62" s="44">
        <f>(I36/0.5)/I28</f>
        <v>0.005149330587023687</v>
      </c>
      <c r="J62" s="44">
        <f>(J36/0.25)/J28</f>
        <v>0.0068850728697276015</v>
      </c>
      <c r="K62" s="54">
        <f>K36/K28</f>
        <v>0.002647078287340348</v>
      </c>
      <c r="L62" s="53">
        <f>(L36/0.75)/L28</f>
        <v>0.0023495327433002986</v>
      </c>
      <c r="M62" s="53">
        <f>(M36/0.5)/M28</f>
        <v>0.0022059870012808955</v>
      </c>
      <c r="N62" s="44">
        <f>(N36/0.25)/N28</f>
        <v>0.0013268373587643828</v>
      </c>
      <c r="O62" s="12">
        <f>O36/O28</f>
        <v>0.017336735565946743</v>
      </c>
      <c r="P62" s="12">
        <f>P36/P27</f>
        <v>0.020853935246507204</v>
      </c>
    </row>
    <row r="63" spans="1:16" ht="11.25">
      <c r="A63" s="20" t="s">
        <v>56</v>
      </c>
      <c r="E63" s="28"/>
      <c r="F63" s="34"/>
      <c r="K63" s="36"/>
      <c r="L63" s="14"/>
      <c r="M63" s="14"/>
      <c r="N63" s="14"/>
      <c r="O63" s="6"/>
      <c r="P63" s="6"/>
    </row>
    <row r="64" spans="1:16" ht="11.25">
      <c r="A64" s="26" t="s">
        <v>57</v>
      </c>
      <c r="C64" s="26">
        <v>13</v>
      </c>
      <c r="D64" s="27">
        <v>15</v>
      </c>
      <c r="E64" s="28">
        <v>18</v>
      </c>
      <c r="F64" s="34">
        <v>18</v>
      </c>
      <c r="G64" s="27">
        <v>18</v>
      </c>
      <c r="H64" s="27">
        <v>18</v>
      </c>
      <c r="I64" s="27">
        <v>19</v>
      </c>
      <c r="J64" s="26">
        <v>20</v>
      </c>
      <c r="K64" s="30">
        <v>21</v>
      </c>
      <c r="L64" s="28">
        <v>22</v>
      </c>
      <c r="M64" s="28">
        <v>23</v>
      </c>
      <c r="N64" s="28">
        <v>29</v>
      </c>
      <c r="O64" s="7">
        <v>30</v>
      </c>
      <c r="P64" s="7">
        <v>49</v>
      </c>
    </row>
    <row r="65" spans="1:16" ht="11.25">
      <c r="A65" s="26" t="s">
        <v>58</v>
      </c>
      <c r="C65" s="26">
        <v>1</v>
      </c>
      <c r="D65" s="27">
        <v>1</v>
      </c>
      <c r="E65" s="28">
        <v>1</v>
      </c>
      <c r="F65" s="34">
        <v>1</v>
      </c>
      <c r="G65" s="27">
        <v>1</v>
      </c>
      <c r="H65" s="27">
        <v>1</v>
      </c>
      <c r="I65" s="27">
        <v>1</v>
      </c>
      <c r="J65" s="26">
        <v>1</v>
      </c>
      <c r="K65" s="30">
        <v>1</v>
      </c>
      <c r="L65" s="28">
        <v>1</v>
      </c>
      <c r="M65" s="28">
        <v>1</v>
      </c>
      <c r="N65" s="28">
        <v>1</v>
      </c>
      <c r="O65" s="7">
        <v>1</v>
      </c>
      <c r="P65" s="7">
        <v>1</v>
      </c>
    </row>
    <row r="66" spans="1:16" ht="11.25">
      <c r="A66" s="26" t="s">
        <v>59</v>
      </c>
      <c r="C66" s="28">
        <f aca="true" t="shared" si="20" ref="C66:P66">C12/C64</f>
        <v>1923.3076923076924</v>
      </c>
      <c r="D66" s="28">
        <f t="shared" si="20"/>
        <v>1822.4</v>
      </c>
      <c r="E66" s="28">
        <f t="shared" si="20"/>
        <v>1538.111111111111</v>
      </c>
      <c r="F66" s="29">
        <f t="shared" si="20"/>
        <v>1356.611111111111</v>
      </c>
      <c r="G66" s="27">
        <f t="shared" si="20"/>
        <v>1426</v>
      </c>
      <c r="H66" s="27">
        <f t="shared" si="20"/>
        <v>1943.2777777777778</v>
      </c>
      <c r="I66" s="27">
        <f t="shared" si="20"/>
        <v>2762.5789473684213</v>
      </c>
      <c r="J66" s="27">
        <f t="shared" si="20"/>
        <v>2807.5</v>
      </c>
      <c r="K66" s="30">
        <f t="shared" si="20"/>
        <v>2911.3333333333335</v>
      </c>
      <c r="L66" s="28">
        <f t="shared" si="20"/>
        <v>2760.2727272727275</v>
      </c>
      <c r="M66" s="28">
        <f t="shared" si="20"/>
        <v>2602.4347826086955</v>
      </c>
      <c r="N66" s="28">
        <f t="shared" si="20"/>
        <v>2298.1724137931033</v>
      </c>
      <c r="O66" s="7">
        <f t="shared" si="20"/>
        <v>2480.0666666666666</v>
      </c>
      <c r="P66" s="7">
        <f t="shared" si="20"/>
        <v>3413.285714285714</v>
      </c>
    </row>
    <row r="67" spans="1:16" ht="11.25">
      <c r="A67" s="26" t="s">
        <v>60</v>
      </c>
      <c r="C67" s="28">
        <f aca="true" t="shared" si="21" ref="C67:P67">+C16/C64</f>
        <v>2449.3076923076924</v>
      </c>
      <c r="D67" s="28">
        <f t="shared" si="21"/>
        <v>2303.2</v>
      </c>
      <c r="E67" s="28">
        <f t="shared" si="21"/>
        <v>2107.9444444444443</v>
      </c>
      <c r="F67" s="29">
        <f t="shared" si="21"/>
        <v>2148.8333333333335</v>
      </c>
      <c r="G67" s="27">
        <f t="shared" si="21"/>
        <v>2246.1666666666665</v>
      </c>
      <c r="H67" s="27">
        <f t="shared" si="21"/>
        <v>2591.3888888888887</v>
      </c>
      <c r="I67" s="27">
        <f t="shared" si="21"/>
        <v>3760.3684210526317</v>
      </c>
      <c r="J67" s="27">
        <f t="shared" si="21"/>
        <v>3253.6</v>
      </c>
      <c r="K67" s="30">
        <f t="shared" si="21"/>
        <v>3091.1428571428573</v>
      </c>
      <c r="L67" s="28">
        <f t="shared" si="21"/>
        <v>3222.5</v>
      </c>
      <c r="M67" s="28">
        <f t="shared" si="21"/>
        <v>3135.913043478261</v>
      </c>
      <c r="N67" s="28">
        <f t="shared" si="21"/>
        <v>2818.4827586206898</v>
      </c>
      <c r="O67" s="7">
        <f t="shared" si="21"/>
        <v>2927.3</v>
      </c>
      <c r="P67" s="7">
        <f t="shared" si="21"/>
        <v>4992.816326530612</v>
      </c>
    </row>
    <row r="68" spans="1:16" ht="11.25">
      <c r="A68" s="13" t="s">
        <v>61</v>
      </c>
      <c r="B68" s="13"/>
      <c r="C68" s="31">
        <f aca="true" t="shared" si="22" ref="C68:P68">+C40/C64</f>
        <v>-120.84615384615384</v>
      </c>
      <c r="D68" s="31">
        <f t="shared" si="22"/>
        <v>-67.33333333333333</v>
      </c>
      <c r="E68" s="31">
        <f t="shared" si="22"/>
        <v>-43.111111111111114</v>
      </c>
      <c r="F68" s="32">
        <f t="shared" si="22"/>
        <v>-26</v>
      </c>
      <c r="G68" s="31">
        <f t="shared" si="22"/>
        <v>-53.333333333333336</v>
      </c>
      <c r="H68" s="31">
        <f t="shared" si="22"/>
        <v>-31.666666666666668</v>
      </c>
      <c r="I68" s="31">
        <f t="shared" si="22"/>
        <v>-25.57894736842105</v>
      </c>
      <c r="J68" s="31">
        <f t="shared" si="22"/>
        <v>-6.3</v>
      </c>
      <c r="K68" s="33">
        <f t="shared" si="22"/>
        <v>-277.95238095238096</v>
      </c>
      <c r="L68" s="31">
        <f t="shared" si="22"/>
        <v>-90</v>
      </c>
      <c r="M68" s="31">
        <f t="shared" si="22"/>
        <v>-49.26086956521739</v>
      </c>
      <c r="N68" s="31">
        <f t="shared" si="22"/>
        <v>-19.310344827586206</v>
      </c>
      <c r="O68" s="9">
        <f t="shared" si="22"/>
        <v>-45.5</v>
      </c>
      <c r="P68" s="9">
        <f t="shared" si="22"/>
        <v>3.3469387755102042</v>
      </c>
    </row>
    <row r="69" spans="1:16" ht="11.25">
      <c r="A69" s="20" t="s">
        <v>62</v>
      </c>
      <c r="E69" s="28"/>
      <c r="F69" s="34"/>
      <c r="K69" s="36"/>
      <c r="L69" s="14"/>
      <c r="M69" s="14"/>
      <c r="N69" s="14"/>
      <c r="O69" s="6"/>
      <c r="P69" s="6"/>
    </row>
    <row r="70" spans="1:16" ht="11.25">
      <c r="A70" s="26" t="s">
        <v>63</v>
      </c>
      <c r="C70" s="40">
        <f aca="true" t="shared" si="23" ref="C70:I70">(C10/G10)-1</f>
        <v>-0.34653085429239194</v>
      </c>
      <c r="D70" s="40">
        <f t="shared" si="23"/>
        <v>-0.351432404703654</v>
      </c>
      <c r="E70" s="40">
        <f t="shared" si="23"/>
        <v>-0.4992890809552065</v>
      </c>
      <c r="F70" s="41">
        <f t="shared" si="23"/>
        <v>-0.3381002125283671</v>
      </c>
      <c r="G70" s="42">
        <f t="shared" si="23"/>
        <v>-0.31270678494365856</v>
      </c>
      <c r="H70" s="42">
        <f t="shared" si="23"/>
        <v>-0.2625507792948516</v>
      </c>
      <c r="I70" s="42">
        <f t="shared" si="23"/>
        <v>0.020111923252626784</v>
      </c>
      <c r="J70" s="42">
        <f>+(J10/N10)-1</f>
        <v>-0.14566642388929352</v>
      </c>
      <c r="K70" s="43">
        <f>+(K10/O10)-1</f>
        <v>-0.20148560817084493</v>
      </c>
      <c r="L70" s="40">
        <f>+(L10/133544)-1</f>
        <v>-0.35668393937578624</v>
      </c>
      <c r="M70" s="40">
        <f>+(M10/161167)-1</f>
        <v>-0.4567126024558378</v>
      </c>
      <c r="N70" s="40">
        <f>+(N10/235508)-1</f>
        <v>-0.5860735091801552</v>
      </c>
      <c r="O70" s="11">
        <f>+(O10/P10)-1</f>
        <v>-0.6115715385216005</v>
      </c>
      <c r="P70" s="11">
        <f>(P10/338798)-1</f>
        <v>-0.20615529017290535</v>
      </c>
    </row>
    <row r="71" spans="1:16" ht="11.25">
      <c r="A71" s="26" t="s">
        <v>64</v>
      </c>
      <c r="C71" s="40">
        <f aca="true" t="shared" si="24" ref="C71:I71">(C12/G12)-1</f>
        <v>-0.025907745052205056</v>
      </c>
      <c r="D71" s="40">
        <f t="shared" si="24"/>
        <v>-0.21850253008948228</v>
      </c>
      <c r="E71" s="40">
        <f t="shared" si="24"/>
        <v>-0.47253710301205964</v>
      </c>
      <c r="F71" s="41">
        <f t="shared" si="24"/>
        <v>-0.5651113089937667</v>
      </c>
      <c r="G71" s="42">
        <f t="shared" si="24"/>
        <v>-0.5801629101377213</v>
      </c>
      <c r="H71" s="42">
        <f t="shared" si="24"/>
        <v>-0.4239864308533412</v>
      </c>
      <c r="I71" s="42">
        <f t="shared" si="24"/>
        <v>-0.12307872226677363</v>
      </c>
      <c r="J71" s="42">
        <f aca="true" t="shared" si="25" ref="J71:P71">SUM(J72:J73)</f>
        <v>-0.15750146293156486</v>
      </c>
      <c r="K71" s="43">
        <f t="shared" si="25"/>
        <v>-0.17827477755974297</v>
      </c>
      <c r="L71" s="40">
        <f t="shared" si="25"/>
        <v>-0.32205017136860437</v>
      </c>
      <c r="M71" s="40">
        <f t="shared" si="25"/>
        <v>-0.44640825726256206</v>
      </c>
      <c r="N71" s="40">
        <f t="shared" si="25"/>
        <v>-0.6091314292416867</v>
      </c>
      <c r="O71" s="11">
        <f t="shared" si="25"/>
        <v>-0.5551476523309278</v>
      </c>
      <c r="P71" s="11">
        <f t="shared" si="25"/>
        <v>-0.1739426776444789</v>
      </c>
    </row>
    <row r="72" spans="2:16" ht="11.25">
      <c r="B72" s="26" t="s">
        <v>15</v>
      </c>
      <c r="C72" s="40">
        <v>0</v>
      </c>
      <c r="D72" s="40">
        <v>0</v>
      </c>
      <c r="E72" s="40">
        <v>0</v>
      </c>
      <c r="F72" s="41">
        <v>0</v>
      </c>
      <c r="G72" s="42">
        <v>0</v>
      </c>
      <c r="H72" s="42">
        <v>0</v>
      </c>
      <c r="I72" s="42">
        <v>0</v>
      </c>
      <c r="J72" s="42">
        <v>0</v>
      </c>
      <c r="K72" s="43">
        <v>0</v>
      </c>
      <c r="L72" s="40">
        <v>0</v>
      </c>
      <c r="M72" s="40">
        <v>0</v>
      </c>
      <c r="N72" s="40">
        <v>0</v>
      </c>
      <c r="O72" s="11">
        <v>0</v>
      </c>
      <c r="P72" s="11">
        <v>0</v>
      </c>
    </row>
    <row r="73" spans="2:16" ht="11.25">
      <c r="B73" s="26" t="s">
        <v>16</v>
      </c>
      <c r="C73" s="40">
        <f aca="true" t="shared" si="26" ref="C73:I73">(C14/G14)-1</f>
        <v>-0.025907745052205056</v>
      </c>
      <c r="D73" s="40">
        <f t="shared" si="26"/>
        <v>-0.21850253008948228</v>
      </c>
      <c r="E73" s="40">
        <f t="shared" si="26"/>
        <v>-0.47253710301205964</v>
      </c>
      <c r="F73" s="41">
        <f t="shared" si="26"/>
        <v>-0.5651113089937667</v>
      </c>
      <c r="G73" s="42">
        <f t="shared" si="26"/>
        <v>-0.5801629101377213</v>
      </c>
      <c r="H73" s="42">
        <f t="shared" si="26"/>
        <v>-0.4239864308533412</v>
      </c>
      <c r="I73" s="42">
        <f t="shared" si="26"/>
        <v>-0.12307872226677363</v>
      </c>
      <c r="J73" s="42">
        <f>+(J14/N14)-1</f>
        <v>-0.15750146293156486</v>
      </c>
      <c r="K73" s="43">
        <f>+(K14/O14)-1</f>
        <v>-0.17827477755974297</v>
      </c>
      <c r="L73" s="40">
        <f>+(L14/89573)-1</f>
        <v>-0.32205017136860437</v>
      </c>
      <c r="M73" s="40">
        <f>+(M14/108123)-1</f>
        <v>-0.44640825726256206</v>
      </c>
      <c r="N73" s="40">
        <f>+(N14/170510)-1</f>
        <v>-0.6091314292416867</v>
      </c>
      <c r="O73" s="11">
        <f>+(O14/P14)-1</f>
        <v>-0.5551476523309278</v>
      </c>
      <c r="P73" s="11">
        <f>+(P14/202469)-1</f>
        <v>-0.1739426776444789</v>
      </c>
    </row>
    <row r="74" spans="1:16" ht="11.25">
      <c r="A74" s="26" t="s">
        <v>65</v>
      </c>
      <c r="C74" s="40">
        <f aca="true" t="shared" si="27" ref="C74:I74">(C16/G16)-1</f>
        <v>-0.2124607355741881</v>
      </c>
      <c r="D74" s="40">
        <f t="shared" si="27"/>
        <v>-0.259341837281595</v>
      </c>
      <c r="E74" s="40">
        <f t="shared" si="27"/>
        <v>-0.4689350147661904</v>
      </c>
      <c r="F74" s="41">
        <f t="shared" si="27"/>
        <v>-0.40559687730513894</v>
      </c>
      <c r="G74" s="42">
        <f t="shared" si="27"/>
        <v>-0.3771605508827064</v>
      </c>
      <c r="H74" s="42">
        <f t="shared" si="27"/>
        <v>-0.34205515198533043</v>
      </c>
      <c r="I74" s="42">
        <f t="shared" si="27"/>
        <v>-0.009414080913956124</v>
      </c>
      <c r="J74" s="42">
        <f aca="true" t="shared" si="28" ref="J74:P74">SUM(J75:J76)</f>
        <v>-0.20387589311931098</v>
      </c>
      <c r="K74" s="43">
        <f t="shared" si="28"/>
        <v>-0.26082055136132276</v>
      </c>
      <c r="L74" s="40">
        <f t="shared" si="28"/>
        <v>-0.3805700206199979</v>
      </c>
      <c r="M74" s="40">
        <f t="shared" si="28"/>
        <v>-0.4876286682437184</v>
      </c>
      <c r="N74" s="40">
        <f t="shared" si="28"/>
        <v>-0.6172781120501956</v>
      </c>
      <c r="O74" s="11">
        <f t="shared" si="28"/>
        <v>-0.6408925855046862</v>
      </c>
      <c r="P74" s="11">
        <f t="shared" si="28"/>
        <v>-1.1150720014732038</v>
      </c>
    </row>
    <row r="75" spans="2:16" ht="11.25">
      <c r="B75" s="26" t="s">
        <v>15</v>
      </c>
      <c r="C75" s="40">
        <v>0</v>
      </c>
      <c r="D75" s="40">
        <v>0</v>
      </c>
      <c r="E75" s="40">
        <v>0</v>
      </c>
      <c r="F75" s="41">
        <v>0</v>
      </c>
      <c r="G75" s="42">
        <v>0</v>
      </c>
      <c r="H75" s="42">
        <v>0</v>
      </c>
      <c r="I75" s="42">
        <v>0</v>
      </c>
      <c r="J75" s="42">
        <v>0</v>
      </c>
      <c r="K75" s="43">
        <v>0</v>
      </c>
      <c r="L75" s="40">
        <v>0</v>
      </c>
      <c r="M75" s="40">
        <v>0</v>
      </c>
      <c r="N75" s="40">
        <v>0</v>
      </c>
      <c r="O75" s="11">
        <v>0</v>
      </c>
      <c r="P75" s="11">
        <f>+(P17/1134)-1</f>
        <v>-0.9118165784832452</v>
      </c>
    </row>
    <row r="76" spans="2:16" ht="11.25">
      <c r="B76" s="26" t="s">
        <v>16</v>
      </c>
      <c r="C76" s="40">
        <f aca="true" t="shared" si="29" ref="C76:I76">(C21/G21)-1</f>
        <v>-0.2124607355741881</v>
      </c>
      <c r="D76" s="40">
        <f t="shared" si="29"/>
        <v>-0.259341837281595</v>
      </c>
      <c r="E76" s="40">
        <f t="shared" si="29"/>
        <v>-0.4689350147661904</v>
      </c>
      <c r="F76" s="41">
        <f t="shared" si="29"/>
        <v>-0.40559687730513894</v>
      </c>
      <c r="G76" s="42">
        <f t="shared" si="29"/>
        <v>-0.3771605508827064</v>
      </c>
      <c r="H76" s="42">
        <f t="shared" si="29"/>
        <v>-0.34205515198533043</v>
      </c>
      <c r="I76" s="42">
        <f t="shared" si="29"/>
        <v>-0.009414080913956124</v>
      </c>
      <c r="J76" s="42">
        <f>+(J21/N21)-1</f>
        <v>-0.20387589311931098</v>
      </c>
      <c r="K76" s="43">
        <f>+(K21/O21)-1</f>
        <v>-0.26082055136132276</v>
      </c>
      <c r="L76" s="40">
        <f>+(L21/114452)-1</f>
        <v>-0.3805700206199979</v>
      </c>
      <c r="M76" s="40">
        <f>+(M21/140769)-1</f>
        <v>-0.4876286682437184</v>
      </c>
      <c r="N76" s="40">
        <f>+(N21/213565)-1</f>
        <v>-0.6172781120501956</v>
      </c>
      <c r="O76" s="11">
        <f>+(O21/P21)-1</f>
        <v>-0.6408925855046862</v>
      </c>
      <c r="P76" s="11">
        <f>+(P21/306934)-1</f>
        <v>-0.2032554229899588</v>
      </c>
    </row>
    <row r="77" spans="1:16" ht="11.25">
      <c r="A77" s="26" t="s">
        <v>66</v>
      </c>
      <c r="C77" s="40">
        <f aca="true" t="shared" si="30" ref="C77:I77">(C25/G25)-1</f>
        <v>-0.3228105906313645</v>
      </c>
      <c r="D77" s="40">
        <f t="shared" si="30"/>
        <v>-0.26664159458443026</v>
      </c>
      <c r="E77" s="40">
        <f t="shared" si="30"/>
        <v>-0.23505459929668704</v>
      </c>
      <c r="F77" s="41">
        <f t="shared" si="30"/>
        <v>-0.22922089189658168</v>
      </c>
      <c r="G77" s="42">
        <f t="shared" si="30"/>
        <v>-0.16624214637459667</v>
      </c>
      <c r="H77" s="42">
        <f t="shared" si="30"/>
        <v>-0.06307258632840029</v>
      </c>
      <c r="I77" s="42">
        <f t="shared" si="30"/>
        <v>-0.1719540229885057</v>
      </c>
      <c r="J77" s="40">
        <f>+(J25/N25)-1</f>
        <v>-0.18796674651261092</v>
      </c>
      <c r="K77" s="43">
        <f>+(K25/O25)-1</f>
        <v>-0.231000261164795</v>
      </c>
      <c r="L77" s="40">
        <f>+(L25/7934)-1</f>
        <v>-0.28459793294681124</v>
      </c>
      <c r="M77" s="40">
        <f>+(M25/13906)-1</f>
        <v>-0.5307780814037106</v>
      </c>
      <c r="N77" s="40">
        <f>+(N25/14870)-1</f>
        <v>-0.5227303295225285</v>
      </c>
      <c r="O77" s="10">
        <f>+(O25/P25)-1</f>
        <v>-0.5742954027461227</v>
      </c>
      <c r="P77" s="10">
        <f>(P25/18439)-1</f>
        <v>-0.024404794186235645</v>
      </c>
    </row>
    <row r="78" spans="1:16" ht="11.25">
      <c r="A78" s="13" t="s">
        <v>67</v>
      </c>
      <c r="B78" s="13"/>
      <c r="C78" s="44">
        <f aca="true" t="shared" si="31" ref="C78:I78">(C40/G40)-1</f>
        <v>0.6364583333333333</v>
      </c>
      <c r="D78" s="44">
        <f t="shared" si="31"/>
        <v>0.7719298245614035</v>
      </c>
      <c r="E78" s="44">
        <f t="shared" si="31"/>
        <v>0.5967078189300412</v>
      </c>
      <c r="F78" s="45">
        <f t="shared" si="31"/>
        <v>2.7142857142857144</v>
      </c>
      <c r="G78" s="44">
        <f t="shared" si="31"/>
        <v>-0.8355319513448689</v>
      </c>
      <c r="H78" s="44">
        <f t="shared" si="31"/>
        <v>-0.7121212121212122</v>
      </c>
      <c r="I78" s="44">
        <f t="shared" si="31"/>
        <v>-0.5710503089143866</v>
      </c>
      <c r="J78" s="44">
        <f>+(J40/N40)-1</f>
        <v>-0.775</v>
      </c>
      <c r="K78" s="46">
        <f>+(K40/O40)-1</f>
        <v>3.276190476190476</v>
      </c>
      <c r="L78" s="44">
        <f>+(L40/906)-1</f>
        <v>-3.185430463576159</v>
      </c>
      <c r="M78" s="44">
        <f>+(M40/82)-1</f>
        <v>-14.817073170731707</v>
      </c>
      <c r="N78" s="44">
        <f>+(N40/882)-1</f>
        <v>-1.6349206349206349</v>
      </c>
      <c r="O78" s="12">
        <f>+(O40/P40)-1</f>
        <v>-9.323170731707316</v>
      </c>
      <c r="P78" s="12">
        <f>+(P40/1257)-1</f>
        <v>-0.8695306284805091</v>
      </c>
    </row>
    <row r="79" spans="15:16" ht="11.25">
      <c r="O79" s="6"/>
      <c r="P79" s="6"/>
    </row>
    <row r="80" spans="15:16" ht="11.25">
      <c r="O80" s="6"/>
      <c r="P80" s="6"/>
    </row>
    <row r="81" spans="15:16" ht="11.25">
      <c r="O81" s="6"/>
      <c r="P81" s="6"/>
    </row>
    <row r="82" spans="15:16" ht="11.25">
      <c r="O82" s="6"/>
      <c r="P82" s="6"/>
    </row>
    <row r="83" spans="15:16" ht="11.25">
      <c r="O83" s="6"/>
      <c r="P83" s="6"/>
    </row>
    <row r="84" spans="15:16" ht="11.25">
      <c r="O84" s="6"/>
      <c r="P84" s="6"/>
    </row>
    <row r="85" spans="15:16" ht="11.25">
      <c r="O85" s="6"/>
      <c r="P85" s="6"/>
    </row>
    <row r="86" spans="15:16" ht="11.25">
      <c r="O86" s="6"/>
      <c r="P86" s="6"/>
    </row>
    <row r="87" spans="15:16" ht="11.25">
      <c r="O87" s="6"/>
      <c r="P87" s="6"/>
    </row>
    <row r="88" spans="15:16" ht="11.25">
      <c r="O88" s="6"/>
      <c r="P88" s="6"/>
    </row>
    <row r="89" spans="15:16" ht="11.25">
      <c r="O89" s="6"/>
      <c r="P89" s="6"/>
    </row>
    <row r="90" spans="15:16" ht="11.25">
      <c r="O90" s="6"/>
      <c r="P90" s="6"/>
    </row>
    <row r="91" spans="15:16" ht="11.25">
      <c r="O91" s="6"/>
      <c r="P91" s="6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2017-06-16T17:20:56Z</dcterms:created>
  <dcterms:modified xsi:type="dcterms:W3CDTF">2017-06-16T17:20:59Z</dcterms:modified>
  <cp:category/>
  <cp:version/>
  <cp:contentType/>
  <cp:contentStatus/>
</cp:coreProperties>
</file>