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Discount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<sst xmlns="http://schemas.openxmlformats.org/spreadsheetml/2006/main" count="89" uniqueCount="69">
  <si>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CUADRO No. 19-10</t>
  </si>
  <si>
    <t>DISCOUNT BANK AND TRUST</t>
  </si>
  <si>
    <t>ESTADISTICA FINANCIERA. 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</si>
  <si>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</si>
  <si>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</si>
  <si>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</si>
  <si>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</si>
  <si>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</si>
  <si>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</si>
  <si>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</si>
  <si>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</si>
  <si>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</si>
  <si>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</si>
  <si>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</si>
  <si>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</si>
  <si>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</si>
  <si>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</si>
  <si>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</si>
  <si>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</si>
  <si>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</si>
  <si>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</si>
  <si>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</si>
  <si>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</si>
  <si>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</si>
  <si>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</si>
  <si>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</si>
  <si>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</si>
  <si>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</si>
  <si>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</si>
  <si>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</si>
  <si>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</si>
  <si>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</si>
  <si>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</si>
  <si>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</si>
  <si>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</si>
  <si>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</si>
  <si>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</si>
  <si>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</si>
  <si>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</si>
  <si>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</si>
  <si>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</si>
  <si>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</si>
  <si>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</si>
  <si>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</si>
  <si>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</si>
  <si>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</si>
  <si>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</si>
  <si>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</si>
  <si>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</si>
  <si>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</si>
  <si>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</si>
  <si>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</si>
  <si>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</si>
  <si>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</si>
  <si>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</si>
  <si>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</si>
  <si>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</si>
  <si>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</si>
  <si>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</si>
  <si>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</si>
  <si>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</si>
  <si>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</si>
  <si>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</si>
  <si>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</si>
  <si>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</si>
  <si>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</si>
  <si>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</si>
  <si>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</si>
  <si>
    <t xml:space="preserve"> 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</si>
</sst>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01" fontId="2" fillId="0" borderId="0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Alignment="1">
      <alignment horizontal="center"/>
    </xf>
    <xf numFmtId="201" fontId="3" fillId="0" borderId="16" xfId="46" applyNumberFormat="1" applyFont="1" applyBorder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8" xfId="46" applyNumberFormat="1" applyFont="1" applyBorder="1" applyAlignment="1">
      <alignment/>
    </xf>
    <xf numFmtId="201" fontId="3" fillId="0" borderId="19" xfId="46" applyNumberFormat="1" applyFont="1" applyBorder="1" applyAlignment="1">
      <alignment/>
    </xf>
    <xf numFmtId="0" fontId="2" fillId="0" borderId="17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7" xfId="46" applyFont="1" applyBorder="1" applyAlignment="1">
      <alignment/>
    </xf>
    <xf numFmtId="0" fontId="3" fillId="0" borderId="15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8" xfId="52" applyNumberFormat="1" applyFont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204" fontId="3" fillId="0" borderId="18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19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9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3.7109375" style="2" customWidth="1"/>
    <col min="2" max="2" width="29.28125" style="4" customWidth="1"/>
    <col min="3" max="3" width="7.7109375" style="4" customWidth="1"/>
    <col min="4" max="4" width="7.57421875" style="4" customWidth="1"/>
    <col min="5" max="6" width="7.421875" style="2" customWidth="1"/>
    <col min="7" max="7" width="7.00390625" style="2" bestFit="1" customWidth="1"/>
    <col min="8" max="8" width="8.28125" style="2" customWidth="1"/>
    <col min="9" max="9" width="7.28125" style="2" customWidth="1"/>
    <col min="10" max="10" width="6.8515625" style="2" customWidth="1"/>
    <col min="11" max="11" width="7.57421875" style="2" customWidth="1"/>
    <col min="12" max="12" width="8.28125" style="2" customWidth="1"/>
    <col min="13" max="13" width="7.7109375" style="2" customWidth="1"/>
    <col min="14" max="14" width="7.421875" style="2" customWidth="1"/>
    <col min="15" max="15" width="6.28125" style="2" hidden="1" customWidth="1"/>
    <col min="16" max="16" width="6.421875" style="2" hidden="1" customWidth="1"/>
    <col min="17" max="21" width="11.421875" style="2" customWidth="1"/>
    <col min="22" max="16384" width="11.421875" style="1" customWidth="1"/>
  </cols>
  <sheetData>
    <row r="1" spans="2:16" ht="11.25">
      <c r="B1" s="53"/>
      <c r="C1" s="53"/>
      <c r="D1" s="53"/>
      <c r="E1" s="53"/>
      <c r="F1" s="53"/>
      <c r="G1" s="53"/>
      <c r="H1" s="53" t="s">
        <v>0</v>
      </c>
      <c r="I1" s="53"/>
      <c r="J1" s="53"/>
      <c r="K1" s="53"/>
      <c r="L1" s="53"/>
      <c r="M1" s="53"/>
      <c r="N1" s="53"/>
      <c r="O1" s="53"/>
      <c r="P1" s="53"/>
    </row>
    <row r="2" spans="2:16" ht="11.25">
      <c r="B2" s="53"/>
      <c r="C2" s="53"/>
      <c r="D2" s="53"/>
      <c r="E2" s="53"/>
      <c r="F2" s="53"/>
      <c r="G2" s="53"/>
      <c r="H2" s="53" t="s">
        <v>1</v>
      </c>
      <c r="I2" s="53"/>
      <c r="J2" s="53"/>
      <c r="K2" s="53"/>
      <c r="L2" s="53"/>
      <c r="M2" s="53"/>
      <c r="N2" s="53"/>
      <c r="O2" s="53"/>
      <c r="P2" s="53"/>
    </row>
    <row r="3" spans="2:16" ht="11.25">
      <c r="B3" s="53"/>
      <c r="C3" s="53"/>
      <c r="D3" s="53"/>
      <c r="E3" s="53"/>
      <c r="F3" s="53"/>
      <c r="G3" s="53"/>
      <c r="H3" s="53" t="s">
        <v>2</v>
      </c>
      <c r="I3" s="53"/>
      <c r="J3" s="53"/>
      <c r="K3" s="53"/>
      <c r="L3" s="53"/>
      <c r="M3" s="53"/>
      <c r="N3" s="53"/>
      <c r="O3" s="53"/>
      <c r="P3" s="53"/>
    </row>
    <row r="4" spans="1:16" ht="11.25">
      <c r="A4" s="1"/>
      <c r="B4" s="52"/>
      <c r="C4" s="52"/>
      <c r="D4" s="52"/>
      <c r="E4" s="52"/>
      <c r="F4" s="52"/>
      <c r="G4" s="52"/>
      <c r="H4" s="52" t="s">
        <v>3</v>
      </c>
      <c r="I4" s="52"/>
      <c r="J4" s="52"/>
      <c r="K4" s="52"/>
      <c r="L4" s="52"/>
      <c r="M4" s="52"/>
      <c r="N4" s="52"/>
      <c r="O4" s="52"/>
      <c r="P4" s="52"/>
    </row>
    <row r="5" spans="1:16" ht="11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55">
        <v>2002</v>
      </c>
      <c r="D7" s="55"/>
      <c r="E7" s="55"/>
      <c r="F7" s="56"/>
      <c r="G7" s="55">
        <v>2001</v>
      </c>
      <c r="H7" s="55"/>
      <c r="I7" s="55"/>
      <c r="J7" s="55"/>
      <c r="K7" s="54">
        <v>2000</v>
      </c>
      <c r="L7" s="55"/>
      <c r="M7" s="55"/>
      <c r="N7" s="55"/>
      <c r="O7" s="55" t="s">
        <v>4</v>
      </c>
      <c r="P7" s="55"/>
    </row>
    <row r="8" spans="1:16" ht="11.25">
      <c r="A8" s="6"/>
      <c r="B8" s="6"/>
      <c r="C8" s="7" t="s">
        <v>5</v>
      </c>
      <c r="D8" s="7" t="s">
        <v>6</v>
      </c>
      <c r="E8" s="7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7" t="s">
        <v>6</v>
      </c>
      <c r="M8" s="7" t="s">
        <v>7</v>
      </c>
      <c r="N8" s="7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2"/>
      <c r="C9" s="13"/>
      <c r="D9" s="14"/>
      <c r="E9" s="12"/>
      <c r="F9" s="15"/>
      <c r="G9" s="11"/>
      <c r="H9" s="11"/>
      <c r="I9" s="11"/>
      <c r="J9" s="16"/>
      <c r="K9" s="17"/>
      <c r="L9" s="13"/>
      <c r="M9" s="13"/>
      <c r="N9" s="13"/>
      <c r="O9" s="16"/>
      <c r="P9" s="16"/>
    </row>
    <row r="10" spans="1:16" ht="11.25">
      <c r="A10" s="2" t="s">
        <v>12</v>
      </c>
      <c r="C10" s="18">
        <v>2591</v>
      </c>
      <c r="D10" s="18">
        <v>2649</v>
      </c>
      <c r="E10" s="18">
        <v>22159</v>
      </c>
      <c r="F10" s="19">
        <v>79140</v>
      </c>
      <c r="G10" s="20">
        <v>82770</v>
      </c>
      <c r="H10" s="20">
        <v>83618</v>
      </c>
      <c r="I10" s="20">
        <v>83038</v>
      </c>
      <c r="J10" s="21">
        <v>86898</v>
      </c>
      <c r="K10" s="22">
        <v>94916</v>
      </c>
      <c r="L10" s="18">
        <v>99006</v>
      </c>
      <c r="M10" s="18">
        <v>102569</v>
      </c>
      <c r="N10" s="18">
        <v>106734</v>
      </c>
      <c r="O10" s="20">
        <v>129936</v>
      </c>
      <c r="P10" s="20">
        <v>148359</v>
      </c>
    </row>
    <row r="11" spans="1:16" ht="11.25">
      <c r="A11" s="2" t="s">
        <v>13</v>
      </c>
      <c r="C11" s="18">
        <v>2334</v>
      </c>
      <c r="D11" s="18">
        <v>2388</v>
      </c>
      <c r="E11" s="18">
        <v>8768</v>
      </c>
      <c r="F11" s="19">
        <v>40043</v>
      </c>
      <c r="G11" s="20">
        <v>39992</v>
      </c>
      <c r="H11" s="20">
        <v>43415</v>
      </c>
      <c r="I11" s="20">
        <v>42413</v>
      </c>
      <c r="J11" s="20">
        <v>45216</v>
      </c>
      <c r="K11" s="22">
        <v>51153</v>
      </c>
      <c r="L11" s="18">
        <v>53994</v>
      </c>
      <c r="M11" s="18">
        <v>56628</v>
      </c>
      <c r="N11" s="18">
        <v>55658</v>
      </c>
      <c r="O11" s="20">
        <v>58105</v>
      </c>
      <c r="P11" s="20">
        <v>69889</v>
      </c>
    </row>
    <row r="12" spans="1:16" ht="11.25">
      <c r="A12" s="2" t="s">
        <v>14</v>
      </c>
      <c r="C12" s="18">
        <f aca="true" t="shared" si="0" ref="C12:P12">C13+C14</f>
        <v>0</v>
      </c>
      <c r="D12" s="18">
        <f t="shared" si="0"/>
        <v>0</v>
      </c>
      <c r="E12" s="18">
        <f t="shared" si="0"/>
        <v>7837</v>
      </c>
      <c r="F12" s="19">
        <f t="shared" si="0"/>
        <v>24347</v>
      </c>
      <c r="G12" s="20">
        <f t="shared" si="0"/>
        <v>26735</v>
      </c>
      <c r="H12" s="20">
        <f t="shared" si="0"/>
        <v>27593</v>
      </c>
      <c r="I12" s="20">
        <f t="shared" si="0"/>
        <v>29633</v>
      </c>
      <c r="J12" s="20">
        <f t="shared" si="0"/>
        <v>30599</v>
      </c>
      <c r="K12" s="22">
        <f t="shared" si="0"/>
        <v>34345</v>
      </c>
      <c r="L12" s="18">
        <f t="shared" si="0"/>
        <v>34200</v>
      </c>
      <c r="M12" s="18">
        <f t="shared" si="0"/>
        <v>35385</v>
      </c>
      <c r="N12" s="18">
        <f t="shared" si="0"/>
        <v>38499</v>
      </c>
      <c r="O12" s="20">
        <f t="shared" si="0"/>
        <v>57743</v>
      </c>
      <c r="P12" s="20">
        <f t="shared" si="0"/>
        <v>65121</v>
      </c>
    </row>
    <row r="13" spans="2:16" ht="11.25">
      <c r="B13" s="4" t="s">
        <v>15</v>
      </c>
      <c r="C13" s="18">
        <v>0</v>
      </c>
      <c r="D13" s="18">
        <v>0</v>
      </c>
      <c r="E13" s="18">
        <v>0</v>
      </c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2">
        <v>0</v>
      </c>
      <c r="L13" s="18">
        <v>0</v>
      </c>
      <c r="M13" s="18">
        <v>0</v>
      </c>
      <c r="N13" s="18">
        <v>0</v>
      </c>
      <c r="O13" s="20">
        <v>0</v>
      </c>
      <c r="P13" s="20">
        <v>0</v>
      </c>
    </row>
    <row r="14" spans="2:16" ht="11.25">
      <c r="B14" s="4" t="s">
        <v>68</v>
      </c>
      <c r="C14" s="18">
        <v>0</v>
      </c>
      <c r="D14" s="18">
        <v>0</v>
      </c>
      <c r="E14" s="18">
        <v>7837</v>
      </c>
      <c r="F14" s="19">
        <v>24347</v>
      </c>
      <c r="G14" s="20">
        <v>26735</v>
      </c>
      <c r="H14" s="20">
        <v>27593</v>
      </c>
      <c r="I14" s="20">
        <v>29633</v>
      </c>
      <c r="J14" s="20">
        <v>30599</v>
      </c>
      <c r="K14" s="22">
        <v>34345</v>
      </c>
      <c r="L14" s="18">
        <v>34200</v>
      </c>
      <c r="M14" s="18">
        <v>35385</v>
      </c>
      <c r="N14" s="18">
        <v>38499</v>
      </c>
      <c r="O14" s="20">
        <v>57743</v>
      </c>
      <c r="P14" s="20">
        <v>65121</v>
      </c>
    </row>
    <row r="15" spans="1:16" ht="11.25">
      <c r="A15" s="2" t="s">
        <v>17</v>
      </c>
      <c r="C15" s="18">
        <v>0</v>
      </c>
      <c r="D15" s="18">
        <v>0</v>
      </c>
      <c r="E15" s="18">
        <v>4923</v>
      </c>
      <c r="F15" s="19">
        <v>14139</v>
      </c>
      <c r="G15" s="20">
        <v>15320</v>
      </c>
      <c r="H15" s="20">
        <v>11878</v>
      </c>
      <c r="I15" s="20">
        <v>10219</v>
      </c>
      <c r="J15" s="20">
        <v>10113</v>
      </c>
      <c r="K15" s="22">
        <v>8443</v>
      </c>
      <c r="L15" s="18">
        <v>9483</v>
      </c>
      <c r="M15" s="18">
        <v>9496</v>
      </c>
      <c r="N15" s="18">
        <v>9062</v>
      </c>
      <c r="O15" s="20">
        <v>11014</v>
      </c>
      <c r="P15" s="20">
        <v>11945</v>
      </c>
    </row>
    <row r="16" spans="1:16" ht="11.25">
      <c r="A16" s="2" t="s">
        <v>18</v>
      </c>
      <c r="C16" s="18">
        <f aca="true" t="shared" si="1" ref="C16:P16">C17+C21</f>
        <v>0</v>
      </c>
      <c r="D16" s="18">
        <f t="shared" si="1"/>
        <v>0</v>
      </c>
      <c r="E16" s="18">
        <f t="shared" si="1"/>
        <v>14388</v>
      </c>
      <c r="F16" s="19">
        <f t="shared" si="1"/>
        <v>71522</v>
      </c>
      <c r="G16" s="20">
        <f t="shared" si="1"/>
        <v>74426</v>
      </c>
      <c r="H16" s="20">
        <f t="shared" si="1"/>
        <v>74382</v>
      </c>
      <c r="I16" s="20">
        <f t="shared" si="1"/>
        <v>75484</v>
      </c>
      <c r="J16" s="20">
        <f t="shared" si="1"/>
        <v>81467</v>
      </c>
      <c r="K16" s="22">
        <f t="shared" si="1"/>
        <v>87593</v>
      </c>
      <c r="L16" s="18">
        <f t="shared" si="1"/>
        <v>92070</v>
      </c>
      <c r="M16" s="18">
        <f t="shared" si="1"/>
        <v>95385</v>
      </c>
      <c r="N16" s="18">
        <f t="shared" si="1"/>
        <v>98478</v>
      </c>
      <c r="O16" s="20">
        <f t="shared" si="1"/>
        <v>122512</v>
      </c>
      <c r="P16" s="20">
        <f t="shared" si="1"/>
        <v>141596</v>
      </c>
    </row>
    <row r="17" spans="2:16" ht="11.25">
      <c r="B17" s="4" t="s">
        <v>15</v>
      </c>
      <c r="C17" s="18">
        <f aca="true" t="shared" si="2" ref="C17:P17">SUM(C18:C20)</f>
        <v>0</v>
      </c>
      <c r="D17" s="18">
        <f t="shared" si="2"/>
        <v>0</v>
      </c>
      <c r="E17" s="18">
        <f t="shared" si="2"/>
        <v>0</v>
      </c>
      <c r="F17" s="19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2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20">
        <f t="shared" si="2"/>
        <v>0</v>
      </c>
      <c r="P17" s="20">
        <f t="shared" si="2"/>
        <v>0</v>
      </c>
    </row>
    <row r="18" spans="2:16" ht="11.25">
      <c r="B18" s="4" t="s">
        <v>19</v>
      </c>
      <c r="C18" s="18">
        <v>0</v>
      </c>
      <c r="D18" s="18">
        <v>0</v>
      </c>
      <c r="E18" s="18">
        <v>0</v>
      </c>
      <c r="F18" s="19">
        <v>0</v>
      </c>
      <c r="G18" s="20">
        <v>0</v>
      </c>
      <c r="H18" s="20">
        <v>0</v>
      </c>
      <c r="I18" s="20">
        <v>0</v>
      </c>
      <c r="J18" s="20">
        <v>0</v>
      </c>
      <c r="K18" s="22">
        <v>0</v>
      </c>
      <c r="L18" s="18">
        <v>0</v>
      </c>
      <c r="M18" s="18">
        <v>0</v>
      </c>
      <c r="N18" s="18">
        <v>0</v>
      </c>
      <c r="O18" s="20">
        <v>0</v>
      </c>
      <c r="P18" s="20">
        <v>0</v>
      </c>
    </row>
    <row r="19" spans="2:16" ht="11.25">
      <c r="B19" s="4" t="s">
        <v>20</v>
      </c>
      <c r="C19" s="18">
        <v>0</v>
      </c>
      <c r="D19" s="18">
        <v>0</v>
      </c>
      <c r="E19" s="18">
        <v>0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  <c r="K19" s="22">
        <v>0</v>
      </c>
      <c r="L19" s="18">
        <v>0</v>
      </c>
      <c r="M19" s="18">
        <v>0</v>
      </c>
      <c r="N19" s="18">
        <v>0</v>
      </c>
      <c r="O19" s="20">
        <v>0</v>
      </c>
      <c r="P19" s="20">
        <v>0</v>
      </c>
    </row>
    <row r="20" spans="2:16" ht="11.25">
      <c r="B20" s="4" t="s">
        <v>21</v>
      </c>
      <c r="C20" s="18">
        <v>0</v>
      </c>
      <c r="D20" s="18">
        <v>0</v>
      </c>
      <c r="E20" s="18">
        <v>0</v>
      </c>
      <c r="F20" s="19">
        <v>0</v>
      </c>
      <c r="G20" s="20">
        <v>0</v>
      </c>
      <c r="H20" s="20">
        <v>0</v>
      </c>
      <c r="I20" s="20">
        <v>0</v>
      </c>
      <c r="J20" s="20">
        <v>0</v>
      </c>
      <c r="K20" s="22">
        <v>0</v>
      </c>
      <c r="L20" s="18">
        <v>0</v>
      </c>
      <c r="M20" s="18">
        <v>0</v>
      </c>
      <c r="N20" s="18">
        <v>0</v>
      </c>
      <c r="O20" s="20">
        <v>0</v>
      </c>
      <c r="P20" s="20">
        <v>0</v>
      </c>
    </row>
    <row r="21" spans="2:16" ht="11.25">
      <c r="B21" s="4" t="s">
        <v>16</v>
      </c>
      <c r="C21" s="18">
        <f>SUM(C22:C24)</f>
        <v>0</v>
      </c>
      <c r="D21" s="18">
        <f>SUM(D22:D24)</f>
        <v>0</v>
      </c>
      <c r="E21" s="18">
        <f>SUM(E22:E24)</f>
        <v>14388</v>
      </c>
      <c r="F21" s="19">
        <f>SUM(F22:F24)</f>
        <v>71522</v>
      </c>
      <c r="G21" s="20">
        <f aca="true" t="shared" si="3" ref="G21:P21">SUM(G23:G24)</f>
        <v>74426</v>
      </c>
      <c r="H21" s="20">
        <f t="shared" si="3"/>
        <v>74382</v>
      </c>
      <c r="I21" s="20">
        <f t="shared" si="3"/>
        <v>75484</v>
      </c>
      <c r="J21" s="20">
        <f t="shared" si="3"/>
        <v>81467</v>
      </c>
      <c r="K21" s="22">
        <f t="shared" si="3"/>
        <v>87593</v>
      </c>
      <c r="L21" s="18">
        <f t="shared" si="3"/>
        <v>92070</v>
      </c>
      <c r="M21" s="18">
        <f t="shared" si="3"/>
        <v>95385</v>
      </c>
      <c r="N21" s="18">
        <f t="shared" si="3"/>
        <v>98478</v>
      </c>
      <c r="O21" s="20">
        <f t="shared" si="3"/>
        <v>122512</v>
      </c>
      <c r="P21" s="20">
        <f t="shared" si="3"/>
        <v>141596</v>
      </c>
    </row>
    <row r="22" spans="2:16" ht="11.25">
      <c r="B22" s="4" t="s">
        <v>19</v>
      </c>
      <c r="C22" s="18"/>
      <c r="D22" s="18"/>
      <c r="E22" s="18"/>
      <c r="F22" s="19"/>
      <c r="G22" s="20"/>
      <c r="H22" s="20"/>
      <c r="I22" s="20"/>
      <c r="J22" s="20"/>
      <c r="K22" s="22"/>
      <c r="L22" s="18"/>
      <c r="M22" s="18"/>
      <c r="N22" s="18"/>
      <c r="O22" s="20"/>
      <c r="P22" s="20"/>
    </row>
    <row r="23" spans="2:16" ht="11.25">
      <c r="B23" s="4" t="s">
        <v>20</v>
      </c>
      <c r="C23" s="18">
        <v>0</v>
      </c>
      <c r="D23" s="18">
        <v>0</v>
      </c>
      <c r="E23" s="18">
        <v>14388</v>
      </c>
      <c r="F23" s="19">
        <f>1285+52327</f>
        <v>53612</v>
      </c>
      <c r="G23" s="20">
        <f>1018+55551</f>
        <v>56569</v>
      </c>
      <c r="H23" s="20">
        <f>61446+553</f>
        <v>61999</v>
      </c>
      <c r="I23" s="20">
        <v>64373</v>
      </c>
      <c r="J23" s="20">
        <v>69906</v>
      </c>
      <c r="K23" s="22">
        <f>606+74792</f>
        <v>75398</v>
      </c>
      <c r="L23" s="18">
        <v>80576</v>
      </c>
      <c r="M23" s="18">
        <v>83153</v>
      </c>
      <c r="N23" s="18">
        <v>86502</v>
      </c>
      <c r="O23" s="20">
        <v>110012</v>
      </c>
      <c r="P23" s="20">
        <v>127156</v>
      </c>
    </row>
    <row r="24" spans="2:16" ht="11.25">
      <c r="B24" s="4" t="s">
        <v>21</v>
      </c>
      <c r="C24" s="18">
        <v>0</v>
      </c>
      <c r="D24" s="18">
        <v>0</v>
      </c>
      <c r="E24" s="18">
        <v>0</v>
      </c>
      <c r="F24" s="19">
        <v>17910</v>
      </c>
      <c r="G24" s="20">
        <v>17857</v>
      </c>
      <c r="H24" s="20">
        <v>12383</v>
      </c>
      <c r="I24" s="20">
        <v>11111</v>
      </c>
      <c r="J24" s="20">
        <v>11561</v>
      </c>
      <c r="K24" s="22">
        <v>12195</v>
      </c>
      <c r="L24" s="18">
        <v>11494</v>
      </c>
      <c r="M24" s="18">
        <v>12232</v>
      </c>
      <c r="N24" s="18">
        <v>11976</v>
      </c>
      <c r="O24" s="20">
        <v>12500</v>
      </c>
      <c r="P24" s="20">
        <v>14440</v>
      </c>
    </row>
    <row r="25" spans="1:16" ht="11.25">
      <c r="A25" s="3" t="s">
        <v>22</v>
      </c>
      <c r="B25" s="3"/>
      <c r="C25" s="23">
        <v>2168</v>
      </c>
      <c r="D25" s="23">
        <v>2547</v>
      </c>
      <c r="E25" s="23">
        <v>2492</v>
      </c>
      <c r="F25" s="24">
        <v>2750</v>
      </c>
      <c r="G25" s="23">
        <v>3821</v>
      </c>
      <c r="H25" s="23">
        <v>3764</v>
      </c>
      <c r="I25" s="23">
        <v>3386</v>
      </c>
      <c r="J25" s="23">
        <v>3545</v>
      </c>
      <c r="K25" s="25">
        <v>3403</v>
      </c>
      <c r="L25" s="23">
        <v>2221</v>
      </c>
      <c r="M25" s="23">
        <v>2143</v>
      </c>
      <c r="N25" s="23">
        <v>2156</v>
      </c>
      <c r="O25" s="23">
        <v>1800</v>
      </c>
      <c r="P25" s="23">
        <v>1400</v>
      </c>
    </row>
    <row r="26" spans="1:16" ht="11.25">
      <c r="A26" s="11" t="s">
        <v>23</v>
      </c>
      <c r="B26" s="12"/>
      <c r="C26" s="14"/>
      <c r="D26" s="18"/>
      <c r="E26" s="18"/>
      <c r="F26" s="26"/>
      <c r="G26" s="11"/>
      <c r="H26" s="11"/>
      <c r="J26" s="20"/>
      <c r="K26" s="22"/>
      <c r="L26" s="18"/>
      <c r="M26" s="18"/>
      <c r="N26" s="18"/>
      <c r="O26" s="20"/>
      <c r="P26" s="20"/>
    </row>
    <row r="27" spans="1:16" ht="11.25">
      <c r="A27" s="2" t="s">
        <v>12</v>
      </c>
      <c r="C27" s="18">
        <f aca="true" t="shared" si="4" ref="C27:I27">(C10+G10)/2</f>
        <v>42680.5</v>
      </c>
      <c r="D27" s="18">
        <f t="shared" si="4"/>
        <v>43133.5</v>
      </c>
      <c r="E27" s="18">
        <f t="shared" si="4"/>
        <v>52598.5</v>
      </c>
      <c r="F27" s="19">
        <f t="shared" si="4"/>
        <v>83019</v>
      </c>
      <c r="G27" s="20">
        <f t="shared" si="4"/>
        <v>88843</v>
      </c>
      <c r="H27" s="20">
        <f t="shared" si="4"/>
        <v>91312</v>
      </c>
      <c r="I27" s="20">
        <f t="shared" si="4"/>
        <v>92803.5</v>
      </c>
      <c r="J27" s="20">
        <f>+(J10+N10)/2</f>
        <v>96816</v>
      </c>
      <c r="K27" s="22">
        <f>+(K10+O10)/2</f>
        <v>112426</v>
      </c>
      <c r="L27" s="18">
        <f>+(135177+L10)/2</f>
        <v>117091.5</v>
      </c>
      <c r="M27" s="18">
        <f>+(140509+M10)/2</f>
        <v>121539</v>
      </c>
      <c r="N27" s="18">
        <f>+(140896+N10)/2</f>
        <v>123815</v>
      </c>
      <c r="O27" s="20">
        <f>(O10+P10)/2</f>
        <v>139147.5</v>
      </c>
      <c r="P27" s="20">
        <f>(P10+127837)/2</f>
        <v>138098</v>
      </c>
    </row>
    <row r="28" spans="1:16" ht="11.25">
      <c r="A28" s="2" t="s">
        <v>24</v>
      </c>
      <c r="C28" s="18">
        <f aca="true" t="shared" si="5" ref="C28:P28">C29+C30</f>
        <v>21027.5</v>
      </c>
      <c r="D28" s="18">
        <f t="shared" si="5"/>
        <v>19735.5</v>
      </c>
      <c r="E28" s="18">
        <f t="shared" si="5"/>
        <v>26306</v>
      </c>
      <c r="F28" s="19">
        <f t="shared" si="5"/>
        <v>39599</v>
      </c>
      <c r="G28" s="20">
        <f t="shared" si="5"/>
        <v>42421.5</v>
      </c>
      <c r="H28" s="20">
        <f t="shared" si="5"/>
        <v>41577</v>
      </c>
      <c r="I28" s="20">
        <f t="shared" si="5"/>
        <v>42366.5</v>
      </c>
      <c r="J28" s="20">
        <f t="shared" si="5"/>
        <v>44136.5</v>
      </c>
      <c r="K28" s="22">
        <f t="shared" si="5"/>
        <v>55772.5</v>
      </c>
      <c r="L28" s="18">
        <f t="shared" si="5"/>
        <v>57966.5</v>
      </c>
      <c r="M28" s="18">
        <f t="shared" si="5"/>
        <v>59734</v>
      </c>
      <c r="N28" s="18">
        <f t="shared" si="5"/>
        <v>60363</v>
      </c>
      <c r="O28" s="20">
        <f t="shared" si="5"/>
        <v>72911.5</v>
      </c>
      <c r="P28" s="20">
        <f t="shared" si="5"/>
        <v>66754.5</v>
      </c>
    </row>
    <row r="29" spans="2:16" ht="11.25">
      <c r="B29" s="4" t="s">
        <v>14</v>
      </c>
      <c r="C29" s="18">
        <f aca="true" t="shared" si="6" ref="C29:I29">(C12+G12)/2</f>
        <v>13367.5</v>
      </c>
      <c r="D29" s="18">
        <f t="shared" si="6"/>
        <v>13796.5</v>
      </c>
      <c r="E29" s="18">
        <f t="shared" si="6"/>
        <v>18735</v>
      </c>
      <c r="F29" s="19">
        <f t="shared" si="6"/>
        <v>27473</v>
      </c>
      <c r="G29" s="20">
        <f t="shared" si="6"/>
        <v>30540</v>
      </c>
      <c r="H29" s="20">
        <f t="shared" si="6"/>
        <v>30896.5</v>
      </c>
      <c r="I29" s="20">
        <f t="shared" si="6"/>
        <v>32509</v>
      </c>
      <c r="J29" s="20">
        <f>+(J12+N12)/2</f>
        <v>34549</v>
      </c>
      <c r="K29" s="22">
        <f>+(K12+O12)/2</f>
        <v>46044</v>
      </c>
      <c r="L29" s="18">
        <f>+(59044+L12)/2</f>
        <v>46622</v>
      </c>
      <c r="M29" s="18">
        <f>+(64235+M12)/2</f>
        <v>49810</v>
      </c>
      <c r="N29" s="18">
        <f>+(62581+N12)/2</f>
        <v>50540</v>
      </c>
      <c r="O29" s="20">
        <f>(O12+P12)/2</f>
        <v>61432</v>
      </c>
      <c r="P29" s="20">
        <f>(P12+47373)/2</f>
        <v>56247</v>
      </c>
    </row>
    <row r="30" spans="2:16" ht="11.25">
      <c r="B30" s="4" t="s">
        <v>17</v>
      </c>
      <c r="C30" s="18">
        <f aca="true" t="shared" si="7" ref="C30:I30">(C15+G15)/2</f>
        <v>7660</v>
      </c>
      <c r="D30" s="18">
        <f t="shared" si="7"/>
        <v>5939</v>
      </c>
      <c r="E30" s="18">
        <f t="shared" si="7"/>
        <v>7571</v>
      </c>
      <c r="F30" s="19">
        <f t="shared" si="7"/>
        <v>12126</v>
      </c>
      <c r="G30" s="20">
        <f t="shared" si="7"/>
        <v>11881.5</v>
      </c>
      <c r="H30" s="20">
        <f t="shared" si="7"/>
        <v>10680.5</v>
      </c>
      <c r="I30" s="20">
        <f t="shared" si="7"/>
        <v>9857.5</v>
      </c>
      <c r="J30" s="20">
        <f>+(J15+N15)/2</f>
        <v>9587.5</v>
      </c>
      <c r="K30" s="22">
        <f>+(K15+O15)/2</f>
        <v>9728.5</v>
      </c>
      <c r="L30" s="18">
        <f>+(13206+L15)/2</f>
        <v>11344.5</v>
      </c>
      <c r="M30" s="18">
        <f>+(10352+M15)/2</f>
        <v>9924</v>
      </c>
      <c r="N30" s="18">
        <f>+(10584+N15)/2</f>
        <v>9823</v>
      </c>
      <c r="O30" s="20">
        <f>(O15+P15)/2</f>
        <v>11479.5</v>
      </c>
      <c r="P30" s="20">
        <f>(P15+9070)/2</f>
        <v>10507.5</v>
      </c>
    </row>
    <row r="31" spans="1:16" ht="11.25">
      <c r="A31" s="3" t="s">
        <v>22</v>
      </c>
      <c r="B31" s="3"/>
      <c r="C31" s="23">
        <f aca="true" t="shared" si="8" ref="C31:I31">(C25+G25)/2</f>
        <v>2994.5</v>
      </c>
      <c r="D31" s="18">
        <f t="shared" si="8"/>
        <v>3155.5</v>
      </c>
      <c r="E31" s="18">
        <f t="shared" si="8"/>
        <v>2939</v>
      </c>
      <c r="F31" s="24">
        <f t="shared" si="8"/>
        <v>3147.5</v>
      </c>
      <c r="G31" s="23">
        <f t="shared" si="8"/>
        <v>3612</v>
      </c>
      <c r="H31" s="23">
        <f t="shared" si="8"/>
        <v>2992.5</v>
      </c>
      <c r="I31" s="23">
        <f t="shared" si="8"/>
        <v>2764.5</v>
      </c>
      <c r="J31" s="23">
        <f>+(J25+N25)/2</f>
        <v>2850.5</v>
      </c>
      <c r="K31" s="25">
        <f>+(K25+O25)/2</f>
        <v>2601.5</v>
      </c>
      <c r="L31" s="23">
        <f>+(1792+L25)/2</f>
        <v>2006.5</v>
      </c>
      <c r="M31" s="23">
        <f>+(1764+M25)/2</f>
        <v>1953.5</v>
      </c>
      <c r="N31" s="23">
        <f>+(1462+N25)/2</f>
        <v>1809</v>
      </c>
      <c r="O31" s="23">
        <f>(O25+P25)/2</f>
        <v>1600</v>
      </c>
      <c r="P31" s="23">
        <f>(P25+1000)/2</f>
        <v>1200</v>
      </c>
    </row>
    <row r="32" spans="1:14" ht="11.25">
      <c r="A32" s="11" t="s">
        <v>25</v>
      </c>
      <c r="B32" s="12"/>
      <c r="C32" s="12"/>
      <c r="D32" s="27"/>
      <c r="E32" s="27"/>
      <c r="F32" s="26"/>
      <c r="G32" s="11"/>
      <c r="H32" s="11"/>
      <c r="J32" s="20"/>
      <c r="K32" s="28"/>
      <c r="L32" s="4"/>
      <c r="M32" s="4"/>
      <c r="N32" s="4"/>
    </row>
    <row r="33" spans="1:16" ht="11.25">
      <c r="A33" s="2" t="s">
        <v>26</v>
      </c>
      <c r="C33" s="4">
        <v>939</v>
      </c>
      <c r="D33" s="18">
        <v>930</v>
      </c>
      <c r="E33" s="18">
        <v>884</v>
      </c>
      <c r="F33" s="29">
        <v>488</v>
      </c>
      <c r="G33" s="20">
        <v>3443</v>
      </c>
      <c r="H33" s="20">
        <v>2781</v>
      </c>
      <c r="I33" s="20">
        <v>2008</v>
      </c>
      <c r="J33" s="20">
        <v>1100</v>
      </c>
      <c r="K33" s="22">
        <v>5931</v>
      </c>
      <c r="L33" s="18">
        <v>4436</v>
      </c>
      <c r="M33" s="18">
        <v>3038</v>
      </c>
      <c r="N33" s="18">
        <v>1680</v>
      </c>
      <c r="O33" s="20">
        <v>6875</v>
      </c>
      <c r="P33" s="20">
        <v>6315</v>
      </c>
    </row>
    <row r="34" spans="1:16" ht="11.25">
      <c r="A34" s="2" t="s">
        <v>27</v>
      </c>
      <c r="C34" s="4">
        <v>717</v>
      </c>
      <c r="D34" s="18">
        <v>717</v>
      </c>
      <c r="E34" s="18">
        <v>691</v>
      </c>
      <c r="F34" s="29">
        <v>381</v>
      </c>
      <c r="G34" s="20">
        <v>3137</v>
      </c>
      <c r="H34" s="20">
        <v>2569</v>
      </c>
      <c r="I34" s="20">
        <v>1873</v>
      </c>
      <c r="J34" s="20">
        <v>1035</v>
      </c>
      <c r="K34" s="22">
        <v>4807</v>
      </c>
      <c r="L34" s="18">
        <v>3602</v>
      </c>
      <c r="M34" s="18">
        <v>2343</v>
      </c>
      <c r="N34" s="18">
        <v>1169</v>
      </c>
      <c r="O34" s="20">
        <v>5857</v>
      </c>
      <c r="P34" s="20">
        <v>5736</v>
      </c>
    </row>
    <row r="35" spans="1:16" ht="11.25">
      <c r="A35" s="2" t="s">
        <v>28</v>
      </c>
      <c r="C35" s="18">
        <f>+C33-C34</f>
        <v>222</v>
      </c>
      <c r="D35" s="18">
        <f>+D33-D34</f>
        <v>213</v>
      </c>
      <c r="E35" s="18">
        <f>+E33-E34</f>
        <v>193</v>
      </c>
      <c r="F35" s="29">
        <f>+F33-F34</f>
        <v>107</v>
      </c>
      <c r="G35" s="2">
        <f>+G33-G34</f>
        <v>306</v>
      </c>
      <c r="H35" s="20">
        <f aca="true" t="shared" si="9" ref="H35:P35">H33-H34</f>
        <v>212</v>
      </c>
      <c r="I35" s="20">
        <f t="shared" si="9"/>
        <v>135</v>
      </c>
      <c r="J35" s="20">
        <f t="shared" si="9"/>
        <v>65</v>
      </c>
      <c r="K35" s="22">
        <f t="shared" si="9"/>
        <v>1124</v>
      </c>
      <c r="L35" s="18">
        <f t="shared" si="9"/>
        <v>834</v>
      </c>
      <c r="M35" s="18">
        <f t="shared" si="9"/>
        <v>695</v>
      </c>
      <c r="N35" s="18">
        <f t="shared" si="9"/>
        <v>511</v>
      </c>
      <c r="O35" s="20">
        <f t="shared" si="9"/>
        <v>1018</v>
      </c>
      <c r="P35" s="20">
        <f t="shared" si="9"/>
        <v>579</v>
      </c>
    </row>
    <row r="36" spans="1:16" ht="11.25">
      <c r="A36" s="2" t="s">
        <v>29</v>
      </c>
      <c r="C36" s="4">
        <v>1300</v>
      </c>
      <c r="D36" s="18">
        <v>1196</v>
      </c>
      <c r="E36" s="18">
        <v>963</v>
      </c>
      <c r="F36" s="29">
        <v>415</v>
      </c>
      <c r="G36" s="20">
        <v>2868</v>
      </c>
      <c r="H36" s="20">
        <v>1947</v>
      </c>
      <c r="I36" s="20">
        <v>1048</v>
      </c>
      <c r="J36" s="20">
        <v>847</v>
      </c>
      <c r="K36" s="22">
        <v>1875</v>
      </c>
      <c r="L36" s="18">
        <v>794</v>
      </c>
      <c r="M36" s="18">
        <v>554</v>
      </c>
      <c r="N36" s="18">
        <v>176</v>
      </c>
      <c r="O36" s="20">
        <v>1750</v>
      </c>
      <c r="P36" s="20">
        <v>1814</v>
      </c>
    </row>
    <row r="37" spans="1:16" ht="11.25">
      <c r="A37" s="2" t="s">
        <v>30</v>
      </c>
      <c r="C37" s="30">
        <f>+C36+C35</f>
        <v>1522</v>
      </c>
      <c r="D37" s="18">
        <f>+D36+D35</f>
        <v>1409</v>
      </c>
      <c r="E37" s="18">
        <f>+E36+E35</f>
        <v>1156</v>
      </c>
      <c r="F37" s="29">
        <f>+F35+F36</f>
        <v>522</v>
      </c>
      <c r="G37" s="20">
        <f>+G36+G35</f>
        <v>3174</v>
      </c>
      <c r="H37" s="20">
        <v>2159</v>
      </c>
      <c r="I37" s="20">
        <v>1184</v>
      </c>
      <c r="J37" s="20">
        <f aca="true" t="shared" si="10" ref="J37:P37">J35+J36</f>
        <v>912</v>
      </c>
      <c r="K37" s="22">
        <f t="shared" si="10"/>
        <v>2999</v>
      </c>
      <c r="L37" s="18">
        <f t="shared" si="10"/>
        <v>1628</v>
      </c>
      <c r="M37" s="18">
        <f t="shared" si="10"/>
        <v>1249</v>
      </c>
      <c r="N37" s="18">
        <f t="shared" si="10"/>
        <v>687</v>
      </c>
      <c r="O37" s="20">
        <f t="shared" si="10"/>
        <v>2768</v>
      </c>
      <c r="P37" s="20">
        <f t="shared" si="10"/>
        <v>2393</v>
      </c>
    </row>
    <row r="38" spans="1:16" ht="11.25">
      <c r="A38" s="2" t="s">
        <v>31</v>
      </c>
      <c r="C38" s="4">
        <v>2353</v>
      </c>
      <c r="D38" s="18">
        <v>1862</v>
      </c>
      <c r="E38" s="18">
        <v>1664</v>
      </c>
      <c r="F38" s="29">
        <v>771</v>
      </c>
      <c r="G38" s="20">
        <v>2353</v>
      </c>
      <c r="H38" s="20">
        <v>1395</v>
      </c>
      <c r="I38" s="20">
        <v>797</v>
      </c>
      <c r="J38" s="20">
        <v>366</v>
      </c>
      <c r="K38" s="22">
        <v>1793</v>
      </c>
      <c r="L38" s="18">
        <v>1204</v>
      </c>
      <c r="M38" s="18">
        <v>905</v>
      </c>
      <c r="N38" s="18">
        <v>330</v>
      </c>
      <c r="O38" s="20">
        <v>1494</v>
      </c>
      <c r="P38" s="20">
        <v>686</v>
      </c>
    </row>
    <row r="39" spans="1:16" ht="11.25">
      <c r="A39" s="2" t="s">
        <v>32</v>
      </c>
      <c r="C39" s="30">
        <f>+C37-C38</f>
        <v>-831</v>
      </c>
      <c r="D39" s="18">
        <f>+D37-D38</f>
        <v>-453</v>
      </c>
      <c r="E39" s="18">
        <f>+E37-E38</f>
        <v>-508</v>
      </c>
      <c r="F39" s="29">
        <v>-249</v>
      </c>
      <c r="G39" s="20">
        <f>+G37-G38</f>
        <v>821</v>
      </c>
      <c r="H39" s="20">
        <f aca="true" t="shared" si="11" ref="H39:P39">H37-H38</f>
        <v>764</v>
      </c>
      <c r="I39" s="20">
        <f t="shared" si="11"/>
        <v>387</v>
      </c>
      <c r="J39" s="20">
        <f t="shared" si="11"/>
        <v>546</v>
      </c>
      <c r="K39" s="22">
        <f t="shared" si="11"/>
        <v>1206</v>
      </c>
      <c r="L39" s="18">
        <f t="shared" si="11"/>
        <v>424</v>
      </c>
      <c r="M39" s="18">
        <f t="shared" si="11"/>
        <v>344</v>
      </c>
      <c r="N39" s="18">
        <f t="shared" si="11"/>
        <v>357</v>
      </c>
      <c r="O39" s="20">
        <f t="shared" si="11"/>
        <v>1274</v>
      </c>
      <c r="P39" s="20">
        <f t="shared" si="11"/>
        <v>1707</v>
      </c>
    </row>
    <row r="40" spans="1:16" ht="11.25">
      <c r="A40" s="3" t="s">
        <v>33</v>
      </c>
      <c r="B40" s="3"/>
      <c r="C40" s="31">
        <f>+C39</f>
        <v>-831</v>
      </c>
      <c r="D40" s="23">
        <v>-453</v>
      </c>
      <c r="E40" s="23">
        <v>-508</v>
      </c>
      <c r="F40" s="32">
        <v>-249</v>
      </c>
      <c r="G40" s="23">
        <v>821</v>
      </c>
      <c r="H40" s="23">
        <v>764</v>
      </c>
      <c r="I40" s="23">
        <v>387</v>
      </c>
      <c r="J40" s="23">
        <v>546</v>
      </c>
      <c r="K40" s="25">
        <v>1206</v>
      </c>
      <c r="L40" s="23">
        <v>424</v>
      </c>
      <c r="M40" s="23">
        <v>344</v>
      </c>
      <c r="N40" s="23">
        <v>357</v>
      </c>
      <c r="O40" s="23">
        <v>1274</v>
      </c>
      <c r="P40" s="23">
        <v>1707</v>
      </c>
    </row>
    <row r="41" spans="1:16" ht="11.25">
      <c r="A41" s="14" t="s">
        <v>34</v>
      </c>
      <c r="B41" s="14"/>
      <c r="C41" s="14"/>
      <c r="D41" s="27"/>
      <c r="E41" s="18"/>
      <c r="F41" s="26"/>
      <c r="G41" s="12"/>
      <c r="H41" s="12"/>
      <c r="I41" s="20"/>
      <c r="J41" s="5"/>
      <c r="K41" s="33"/>
      <c r="L41" s="5"/>
      <c r="M41" s="5"/>
      <c r="N41" s="4"/>
      <c r="O41" s="5"/>
      <c r="P41" s="5"/>
    </row>
    <row r="42" spans="1:16" ht="11.25">
      <c r="A42" s="4" t="s">
        <v>35</v>
      </c>
      <c r="C42" s="18">
        <v>0</v>
      </c>
      <c r="D42" s="18">
        <v>0</v>
      </c>
      <c r="E42" s="34">
        <v>0</v>
      </c>
      <c r="F42" s="35">
        <v>0</v>
      </c>
      <c r="G42" s="34">
        <v>0</v>
      </c>
      <c r="H42" s="34">
        <v>0</v>
      </c>
      <c r="I42" s="20">
        <v>0</v>
      </c>
      <c r="J42" s="18">
        <v>0</v>
      </c>
      <c r="K42" s="22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1:16" ht="11.25">
      <c r="A43" s="4" t="s">
        <v>36</v>
      </c>
      <c r="C43" s="34">
        <v>0</v>
      </c>
      <c r="D43" s="34">
        <v>0</v>
      </c>
      <c r="E43" s="34">
        <v>0</v>
      </c>
      <c r="F43" s="35">
        <v>0</v>
      </c>
      <c r="G43" s="34">
        <v>0</v>
      </c>
      <c r="H43" s="34">
        <v>0</v>
      </c>
      <c r="I43" s="20">
        <v>0</v>
      </c>
      <c r="J43" s="18">
        <v>0</v>
      </c>
      <c r="K43" s="22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11.25">
      <c r="A44" s="4" t="s">
        <v>37</v>
      </c>
      <c r="C44" s="18">
        <v>0</v>
      </c>
      <c r="D44" s="18">
        <v>0</v>
      </c>
      <c r="E44" s="18">
        <v>0</v>
      </c>
      <c r="F44" s="19">
        <v>0</v>
      </c>
      <c r="G44" s="18">
        <v>0</v>
      </c>
      <c r="H44" s="18">
        <v>0</v>
      </c>
      <c r="I44" s="18">
        <v>0</v>
      </c>
      <c r="J44" s="18">
        <v>0</v>
      </c>
      <c r="K44" s="22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1:16" ht="11.25">
      <c r="A45" s="4" t="s">
        <v>38</v>
      </c>
      <c r="C45" s="18">
        <v>0</v>
      </c>
      <c r="D45" s="18">
        <v>0</v>
      </c>
      <c r="E45" s="18">
        <v>0</v>
      </c>
      <c r="F45" s="19">
        <v>0</v>
      </c>
      <c r="G45" s="18">
        <v>0</v>
      </c>
      <c r="H45" s="18">
        <v>0</v>
      </c>
      <c r="I45" s="18">
        <v>0</v>
      </c>
      <c r="J45" s="18">
        <v>0</v>
      </c>
      <c r="K45" s="22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11.25">
      <c r="A46" s="3" t="s">
        <v>39</v>
      </c>
      <c r="B46" s="3"/>
      <c r="C46" s="23">
        <v>0</v>
      </c>
      <c r="D46" s="23">
        <v>0</v>
      </c>
      <c r="E46" s="23">
        <v>0</v>
      </c>
      <c r="F46" s="24">
        <v>0</v>
      </c>
      <c r="G46" s="23">
        <v>0</v>
      </c>
      <c r="H46" s="23">
        <v>0</v>
      </c>
      <c r="I46" s="23">
        <v>0</v>
      </c>
      <c r="J46" s="23">
        <v>0</v>
      </c>
      <c r="K46" s="25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ht="11.25">
      <c r="A47" s="11" t="s">
        <v>40</v>
      </c>
      <c r="B47" s="12"/>
      <c r="C47" s="12"/>
      <c r="D47" s="5"/>
      <c r="E47" s="18"/>
      <c r="F47" s="26"/>
      <c r="G47" s="14"/>
      <c r="H47" s="14"/>
      <c r="I47" s="5"/>
      <c r="J47" s="36"/>
      <c r="K47" s="5"/>
      <c r="L47" s="5"/>
      <c r="M47" s="5"/>
      <c r="N47" s="4"/>
      <c r="O47" s="5"/>
      <c r="P47" s="5"/>
    </row>
    <row r="48" spans="1:16" ht="11.25">
      <c r="A48" s="2" t="s">
        <v>41</v>
      </c>
      <c r="C48" s="37">
        <v>0</v>
      </c>
      <c r="D48" s="37">
        <v>0</v>
      </c>
      <c r="E48" s="37">
        <f>+E25/E12</f>
        <v>0.31797881842541786</v>
      </c>
      <c r="F48" s="38">
        <f aca="true" t="shared" si="12" ref="F48:P48">F25/F12</f>
        <v>0.11295026081242042</v>
      </c>
      <c r="G48" s="37">
        <f t="shared" si="12"/>
        <v>0.1429212642603329</v>
      </c>
      <c r="H48" s="37">
        <f t="shared" si="12"/>
        <v>0.13641140869060994</v>
      </c>
      <c r="I48" s="37">
        <f t="shared" si="12"/>
        <v>0.11426450241285054</v>
      </c>
      <c r="J48" s="38">
        <f t="shared" si="12"/>
        <v>0.11585345926337462</v>
      </c>
      <c r="K48" s="37">
        <f t="shared" si="12"/>
        <v>0.09908283592953851</v>
      </c>
      <c r="L48" s="37">
        <f t="shared" si="12"/>
        <v>0.06494152046783626</v>
      </c>
      <c r="M48" s="37">
        <f t="shared" si="12"/>
        <v>0.06056238519146531</v>
      </c>
      <c r="N48" s="37">
        <f t="shared" si="12"/>
        <v>0.05600145458323593</v>
      </c>
      <c r="O48" s="37">
        <f t="shared" si="12"/>
        <v>0.03117260966697262</v>
      </c>
      <c r="P48" s="37">
        <f t="shared" si="12"/>
        <v>0.02149844136300118</v>
      </c>
    </row>
    <row r="49" spans="1:16" ht="11.25">
      <c r="A49" s="3" t="s">
        <v>42</v>
      </c>
      <c r="B49" s="3"/>
      <c r="C49" s="39">
        <v>0</v>
      </c>
      <c r="D49" s="39">
        <v>0</v>
      </c>
      <c r="E49" s="39">
        <f aca="true" t="shared" si="13" ref="E49:P49">E25/(E12+E15)</f>
        <v>0.19529780564263322</v>
      </c>
      <c r="F49" s="40">
        <f t="shared" si="13"/>
        <v>0.07145455490308164</v>
      </c>
      <c r="G49" s="39">
        <f t="shared" si="13"/>
        <v>0.090857210795387</v>
      </c>
      <c r="H49" s="39">
        <f t="shared" si="13"/>
        <v>0.09536115122494997</v>
      </c>
      <c r="I49" s="39">
        <f t="shared" si="13"/>
        <v>0.08496436816220014</v>
      </c>
      <c r="J49" s="40">
        <f t="shared" si="13"/>
        <v>0.08707506386323442</v>
      </c>
      <c r="K49" s="39">
        <f t="shared" si="13"/>
        <v>0.07953164438627652</v>
      </c>
      <c r="L49" s="39">
        <f t="shared" si="13"/>
        <v>0.050843577593114024</v>
      </c>
      <c r="M49" s="39">
        <f t="shared" si="13"/>
        <v>0.047748490452530025</v>
      </c>
      <c r="N49" s="39">
        <f t="shared" si="13"/>
        <v>0.04533125880448267</v>
      </c>
      <c r="O49" s="39">
        <f t="shared" si="13"/>
        <v>0.026179152668091975</v>
      </c>
      <c r="P49" s="39">
        <f t="shared" si="13"/>
        <v>0.018166247112864298</v>
      </c>
    </row>
    <row r="50" spans="1:14" ht="11.25">
      <c r="A50" s="11" t="s">
        <v>43</v>
      </c>
      <c r="B50" s="12"/>
      <c r="C50" s="27"/>
      <c r="D50" s="27"/>
      <c r="E50" s="18"/>
      <c r="F50" s="26"/>
      <c r="G50" s="11"/>
      <c r="H50" s="11"/>
      <c r="K50" s="28"/>
      <c r="L50" s="4"/>
      <c r="M50" s="4"/>
      <c r="N50" s="4"/>
    </row>
    <row r="51" spans="1:16" ht="11.25">
      <c r="A51" s="2" t="s">
        <v>44</v>
      </c>
      <c r="C51" s="37">
        <v>0</v>
      </c>
      <c r="D51" s="37">
        <v>0</v>
      </c>
      <c r="E51" s="37">
        <f aca="true" t="shared" si="14" ref="E51:P51">E11/E16</f>
        <v>0.6093967194884626</v>
      </c>
      <c r="F51" s="41">
        <f t="shared" si="14"/>
        <v>0.5598696904448981</v>
      </c>
      <c r="G51" s="42">
        <f t="shared" si="14"/>
        <v>0.537339101926746</v>
      </c>
      <c r="H51" s="42">
        <f t="shared" si="14"/>
        <v>0.5836761582103197</v>
      </c>
      <c r="I51" s="42">
        <f t="shared" si="14"/>
        <v>0.5618806634518574</v>
      </c>
      <c r="J51" s="43">
        <f t="shared" si="14"/>
        <v>0.5550222789595787</v>
      </c>
      <c r="K51" s="44">
        <f t="shared" si="14"/>
        <v>0.5839850216341489</v>
      </c>
      <c r="L51" s="37">
        <f t="shared" si="14"/>
        <v>0.5864450961225155</v>
      </c>
      <c r="M51" s="37">
        <f t="shared" si="14"/>
        <v>0.5936782512973738</v>
      </c>
      <c r="N51" s="37">
        <f t="shared" si="14"/>
        <v>0.5651820711224842</v>
      </c>
      <c r="O51" s="43">
        <f t="shared" si="14"/>
        <v>0.4742800705237038</v>
      </c>
      <c r="P51" s="43">
        <f t="shared" si="14"/>
        <v>0.49358032712788497</v>
      </c>
    </row>
    <row r="52" spans="1:16" ht="11.25">
      <c r="A52" s="2" t="s">
        <v>45</v>
      </c>
      <c r="C52" s="37">
        <f aca="true" t="shared" si="15" ref="C52:P52">C11/C10</f>
        <v>0.9008104978772674</v>
      </c>
      <c r="D52" s="37">
        <f t="shared" si="15"/>
        <v>0.9014722536806342</v>
      </c>
      <c r="E52" s="37">
        <f t="shared" si="15"/>
        <v>0.3956857258901575</v>
      </c>
      <c r="F52" s="41">
        <f t="shared" si="15"/>
        <v>0.5059767500631792</v>
      </c>
      <c r="G52" s="42">
        <f t="shared" si="15"/>
        <v>0.4831702307599372</v>
      </c>
      <c r="H52" s="42">
        <f t="shared" si="15"/>
        <v>0.5192063909684518</v>
      </c>
      <c r="I52" s="42">
        <f t="shared" si="15"/>
        <v>0.510766155254221</v>
      </c>
      <c r="J52" s="43">
        <f t="shared" si="15"/>
        <v>0.520334184906442</v>
      </c>
      <c r="K52" s="44">
        <f t="shared" si="15"/>
        <v>0.5389291584137553</v>
      </c>
      <c r="L52" s="37">
        <f t="shared" si="15"/>
        <v>0.5453608872189565</v>
      </c>
      <c r="M52" s="37">
        <f t="shared" si="15"/>
        <v>0.5520966373855648</v>
      </c>
      <c r="N52" s="37">
        <f t="shared" si="15"/>
        <v>0.521464575486724</v>
      </c>
      <c r="O52" s="43">
        <f t="shared" si="15"/>
        <v>0.44718168944711245</v>
      </c>
      <c r="P52" s="43">
        <f t="shared" si="15"/>
        <v>0.47108028498439597</v>
      </c>
    </row>
    <row r="53" spans="1:16" ht="11.25">
      <c r="A53" s="3" t="s">
        <v>46</v>
      </c>
      <c r="B53" s="3"/>
      <c r="C53" s="39">
        <v>0</v>
      </c>
      <c r="D53" s="39">
        <v>0</v>
      </c>
      <c r="E53" s="39">
        <f aca="true" t="shared" si="16" ref="E53:P53">(E11+E15)/E16</f>
        <v>0.9515568529329997</v>
      </c>
      <c r="F53" s="45">
        <f t="shared" si="16"/>
        <v>0.7575571152931965</v>
      </c>
      <c r="G53" s="46">
        <f t="shared" si="16"/>
        <v>0.7431811463735791</v>
      </c>
      <c r="H53" s="46">
        <f t="shared" si="16"/>
        <v>0.743365330321852</v>
      </c>
      <c r="I53" s="46">
        <f t="shared" si="16"/>
        <v>0.6972603465635101</v>
      </c>
      <c r="J53" s="39">
        <f t="shared" si="16"/>
        <v>0.6791584322486406</v>
      </c>
      <c r="K53" s="47">
        <f t="shared" si="16"/>
        <v>0.6803740024887833</v>
      </c>
      <c r="L53" s="39">
        <f t="shared" si="16"/>
        <v>0.6894428152492669</v>
      </c>
      <c r="M53" s="39">
        <f t="shared" si="16"/>
        <v>0.6932326885778687</v>
      </c>
      <c r="N53" s="39">
        <f t="shared" si="16"/>
        <v>0.6572026239363107</v>
      </c>
      <c r="O53" s="39">
        <f t="shared" si="16"/>
        <v>0.5641814679378346</v>
      </c>
      <c r="P53" s="39">
        <f t="shared" si="16"/>
        <v>0.5779400548038081</v>
      </c>
    </row>
    <row r="54" spans="1:14" ht="11.25">
      <c r="A54" s="11" t="s">
        <v>47</v>
      </c>
      <c r="B54" s="12"/>
      <c r="C54" s="12"/>
      <c r="D54" s="18"/>
      <c r="E54" s="18"/>
      <c r="F54" s="26"/>
      <c r="G54" s="11"/>
      <c r="H54" s="11"/>
      <c r="K54" s="28"/>
      <c r="L54" s="4"/>
      <c r="M54" s="4"/>
      <c r="N54" s="4"/>
    </row>
    <row r="55" spans="1:16" ht="11.25">
      <c r="A55" s="2" t="s">
        <v>48</v>
      </c>
      <c r="C55" s="48">
        <f>C40/C28</f>
        <v>-0.03951967661395791</v>
      </c>
      <c r="D55" s="37">
        <f>(D40/0.75)/D28</f>
        <v>-0.030604747789516353</v>
      </c>
      <c r="E55" s="37">
        <f>(E40/0.5)/E28</f>
        <v>-0.03862236752071771</v>
      </c>
      <c r="F55" s="38">
        <f>((F40)/0.25)/F28</f>
        <v>-0.02515215030682593</v>
      </c>
      <c r="G55" s="48">
        <f>G40/G28</f>
        <v>0.01935339391582099</v>
      </c>
      <c r="H55" s="48">
        <f>(H40/0.75)/H28</f>
        <v>0.02450072556140815</v>
      </c>
      <c r="I55" s="43">
        <f>(I40/0.5)/I28</f>
        <v>0.01826915133419093</v>
      </c>
      <c r="J55" s="43">
        <f>((J40)/0.25)/J28</f>
        <v>0.04948285432691763</v>
      </c>
      <c r="K55" s="49">
        <f>K40/K28</f>
        <v>0.021623559998207</v>
      </c>
      <c r="L55" s="48">
        <f>(L40/0.75)/L28</f>
        <v>0.009752759496145763</v>
      </c>
      <c r="M55" s="48">
        <f>(M40/0.5)/M28</f>
        <v>0.011517728596779055</v>
      </c>
      <c r="N55" s="37">
        <f>((N40)/0.25)/N28</f>
        <v>0.023656875900800158</v>
      </c>
      <c r="O55" s="43">
        <f>O40/O28</f>
        <v>0.017473238103728493</v>
      </c>
      <c r="P55" s="43">
        <f>P40/P28</f>
        <v>0.02557130979933937</v>
      </c>
    </row>
    <row r="56" spans="1:16" ht="11.25">
      <c r="A56" s="2" t="s">
        <v>49</v>
      </c>
      <c r="C56" s="48">
        <f>C40/C27</f>
        <v>-0.019470249879921745</v>
      </c>
      <c r="D56" s="37">
        <f>(D40/0.75)/D27</f>
        <v>-0.01400303708254605</v>
      </c>
      <c r="E56" s="37">
        <f>(E40/0.5)/E27</f>
        <v>-0.019316140194112</v>
      </c>
      <c r="F56" s="38">
        <f>((F40)/0.25)/F27</f>
        <v>-0.011997253640732845</v>
      </c>
      <c r="G56" s="48">
        <f>G40/G27</f>
        <v>0.009241020676924462</v>
      </c>
      <c r="H56" s="48">
        <f>(H40/0.75)/H27</f>
        <v>0.011155890426961041</v>
      </c>
      <c r="I56" s="43">
        <f>(I40/0.5)/I27</f>
        <v>0.008340202686321099</v>
      </c>
      <c r="J56" s="43">
        <f>((J40)/0.25)/J27</f>
        <v>0.02255825483391175</v>
      </c>
      <c r="K56" s="49">
        <f>K40/K27</f>
        <v>0.010727056019070322</v>
      </c>
      <c r="L56" s="48">
        <f>(L40/0.75)/L27</f>
        <v>0.004828132984318532</v>
      </c>
      <c r="M56" s="48">
        <f>(M40/0.5)/M27</f>
        <v>0.005660734414467784</v>
      </c>
      <c r="N56" s="37">
        <f>((N40)/0.25)/N27</f>
        <v>0.011533336025521947</v>
      </c>
      <c r="O56" s="43">
        <f>O40/O27</f>
        <v>0.009155751989795001</v>
      </c>
      <c r="P56" s="43">
        <f>P40/P27</f>
        <v>0.012360787267013281</v>
      </c>
    </row>
    <row r="57" spans="1:16" ht="11.25">
      <c r="A57" s="2" t="s">
        <v>50</v>
      </c>
      <c r="C57" s="48">
        <f>+C40/C31</f>
        <v>-0.2775087660711304</v>
      </c>
      <c r="D57" s="37">
        <f>(D40/0.75)/D31</f>
        <v>-0.1914118206306449</v>
      </c>
      <c r="E57" s="37">
        <f>(E40/0.5)/E31</f>
        <v>-0.34569581490302825</v>
      </c>
      <c r="F57" s="38">
        <f>((F40)/0.25)/F31</f>
        <v>-0.3164416203335981</v>
      </c>
      <c r="G57" s="48">
        <f>+G40/G31</f>
        <v>0.22729789590254706</v>
      </c>
      <c r="H57" s="48">
        <f>(H40/0.75)/H31</f>
        <v>0.3404065719855193</v>
      </c>
      <c r="I57" s="43">
        <f>(I40/0.5)/I31</f>
        <v>0.27997829625610415</v>
      </c>
      <c r="J57" s="43">
        <f>((J40)/0.25)/J31</f>
        <v>0.7661813716891773</v>
      </c>
      <c r="K57" s="49">
        <f>+K40/K31</f>
        <v>0.46357870459350375</v>
      </c>
      <c r="L57" s="48">
        <f>(L40/0.75)/L31</f>
        <v>0.28175097599468396</v>
      </c>
      <c r="M57" s="48">
        <f>(M40/0.5)/M31</f>
        <v>0.35218837983107243</v>
      </c>
      <c r="N57" s="37">
        <f>((N40)/0.25)/N31</f>
        <v>0.7893864013266998</v>
      </c>
      <c r="O57" s="43">
        <f>O40/O31</f>
        <v>0.79625</v>
      </c>
      <c r="P57" s="43">
        <f>P40/P31</f>
        <v>1.4225</v>
      </c>
    </row>
    <row r="58" spans="1:16" ht="11.25">
      <c r="A58" s="2" t="s">
        <v>51</v>
      </c>
      <c r="C58" s="48">
        <f>C33/C28</f>
        <v>0.04465580787064558</v>
      </c>
      <c r="D58" s="37">
        <f>(D33/0.75)/D28</f>
        <v>0.06283093917053026</v>
      </c>
      <c r="E58" s="37">
        <f>(E33/0.5)/E28</f>
        <v>0.0672090017486505</v>
      </c>
      <c r="F58" s="38">
        <f>((F33)/0.25)/F28</f>
        <v>0.04929417409530544</v>
      </c>
      <c r="G58" s="48">
        <f>G33/G28</f>
        <v>0.08116167509399715</v>
      </c>
      <c r="H58" s="48">
        <f>(H33/0.75)/H28</f>
        <v>0.08918392380402626</v>
      </c>
      <c r="I58" s="43">
        <f>(I33/0.5)/I28</f>
        <v>0.09479187565647386</v>
      </c>
      <c r="J58" s="43">
        <f>((J33)/0.25)/J28</f>
        <v>0.09969073216045676</v>
      </c>
      <c r="K58" s="49">
        <f>K33/K28</f>
        <v>0.10634273163297324</v>
      </c>
      <c r="L58" s="48">
        <f>(L33/0.75)/L28</f>
        <v>0.1020359460492986</v>
      </c>
      <c r="M58" s="48">
        <f>(M33/0.5)/M28</f>
        <v>0.10171761475876386</v>
      </c>
      <c r="N58" s="37">
        <f>((N33)/0.25)/N28</f>
        <v>0.11132647482729487</v>
      </c>
      <c r="O58" s="43">
        <f>O33/O28</f>
        <v>0.09429239557545792</v>
      </c>
      <c r="P58" s="43">
        <f>P33/P27</f>
        <v>0.04572839577691205</v>
      </c>
    </row>
    <row r="59" spans="1:16" ht="11.25">
      <c r="A59" s="2" t="s">
        <v>52</v>
      </c>
      <c r="C59" s="48">
        <f>C34/C28</f>
        <v>0.0340982047318987</v>
      </c>
      <c r="D59" s="37">
        <f>(D34/0.75)/D28</f>
        <v>0.04844062729598946</v>
      </c>
      <c r="E59" s="37">
        <f>(E34/0.5)/E28</f>
        <v>0.052535543222078616</v>
      </c>
      <c r="F59" s="38">
        <f>((F34)/0.25)/F28</f>
        <v>0.03848582034899871</v>
      </c>
      <c r="G59" s="48">
        <f>G34/G28</f>
        <v>0.07394835166130383</v>
      </c>
      <c r="H59" s="48">
        <f>(H34/0.75)/H28</f>
        <v>0.08238529315086066</v>
      </c>
      <c r="I59" s="43">
        <f>(I34/0.5)/I28</f>
        <v>0.08841891588873284</v>
      </c>
      <c r="J59" s="43">
        <f>((J34)/0.25)/J28</f>
        <v>0.09379991616915705</v>
      </c>
      <c r="K59" s="49">
        <f>K34/K28</f>
        <v>0.08618943027477699</v>
      </c>
      <c r="L59" s="48">
        <f>(L34/0.75)/L28</f>
        <v>0.08285245213471</v>
      </c>
      <c r="M59" s="48">
        <f>(M34/0.5)/M28</f>
        <v>0.07844778518096897</v>
      </c>
      <c r="N59" s="37">
        <f>((N34)/0.25)/N28</f>
        <v>0.077464672067326</v>
      </c>
      <c r="O59" s="43">
        <f>O34/O28</f>
        <v>0.08033026340152102</v>
      </c>
      <c r="P59" s="43">
        <f>P34/P27</f>
        <v>0.04153572100971774</v>
      </c>
    </row>
    <row r="60" spans="1:16" ht="11.25">
      <c r="A60" s="2" t="s">
        <v>53</v>
      </c>
      <c r="C60" s="48">
        <f>C35/C28</f>
        <v>0.010557603138746879</v>
      </c>
      <c r="D60" s="37">
        <f>(D35/0.75)/D28</f>
        <v>0.014390311874540802</v>
      </c>
      <c r="E60" s="37">
        <f>(E35/0.5)/E28</f>
        <v>0.014673458526571885</v>
      </c>
      <c r="F60" s="38">
        <f>((F35)/0.25)/F28</f>
        <v>0.010808353746306724</v>
      </c>
      <c r="G60" s="48">
        <f>G35/G28</f>
        <v>0.007213323432693328</v>
      </c>
      <c r="H60" s="48">
        <f>(H35/0.75)/H28</f>
        <v>0.006798630653165613</v>
      </c>
      <c r="I60" s="43">
        <f>(I35/0.5)/I28</f>
        <v>0.006372959767741022</v>
      </c>
      <c r="J60" s="43">
        <f>((J35)/0.25)/J28</f>
        <v>0.005890815991299718</v>
      </c>
      <c r="K60" s="49">
        <f>K35/K28</f>
        <v>0.020153301358196242</v>
      </c>
      <c r="L60" s="48">
        <f>(L35/0.75)/L28</f>
        <v>0.0191834939145886</v>
      </c>
      <c r="M60" s="48">
        <f>(M35/0.5)/M28</f>
        <v>0.02326982957779489</v>
      </c>
      <c r="N60" s="37">
        <f>((N35)/0.25)/N28</f>
        <v>0.033861802759968855</v>
      </c>
      <c r="O60" s="43">
        <f>O35/O28</f>
        <v>0.013962132173936896</v>
      </c>
      <c r="P60" s="43">
        <f>P35/P27</f>
        <v>0.004192674767194311</v>
      </c>
    </row>
    <row r="61" spans="1:16" ht="11.25">
      <c r="A61" s="2" t="s">
        <v>54</v>
      </c>
      <c r="C61" s="48">
        <f>C38/C37</f>
        <v>1.5459921156373193</v>
      </c>
      <c r="D61" s="37">
        <f>(D38/0.75)/(D37/0.75)</f>
        <v>1.3215046132008514</v>
      </c>
      <c r="E61" s="37">
        <f>(E38/0.5)/(E37/0.5)</f>
        <v>1.439446366782007</v>
      </c>
      <c r="F61" s="38">
        <f>(F38/0.25)/(F37/0.25)</f>
        <v>1.4770114942528736</v>
      </c>
      <c r="G61" s="48">
        <f>G38/G37</f>
        <v>0.7413358538122243</v>
      </c>
      <c r="H61" s="48">
        <f>(H38/0.75)/(H37/0.75)</f>
        <v>0.6461324687355258</v>
      </c>
      <c r="I61" s="43">
        <f>(I38/0.5)/(I37/0.5)</f>
        <v>0.6731418918918919</v>
      </c>
      <c r="J61" s="43">
        <f>(J38/0.25)/(J37/0.25)</f>
        <v>0.40131578947368424</v>
      </c>
      <c r="K61" s="49">
        <f>K38/K37</f>
        <v>0.5978659553184394</v>
      </c>
      <c r="L61" s="48">
        <f>(L38/0.75)/(L37/0.75)</f>
        <v>0.7395577395577396</v>
      </c>
      <c r="M61" s="48">
        <f>(M38/0.5)/(M37/0.5)</f>
        <v>0.7245796637309848</v>
      </c>
      <c r="N61" s="37">
        <f>(N38/0.25)/(N37/0.25)</f>
        <v>0.48034934497816595</v>
      </c>
      <c r="O61" s="43">
        <f>O38/O37</f>
        <v>0.5397398843930635</v>
      </c>
      <c r="P61" s="43">
        <f>P38/P37</f>
        <v>0.2866694525699958</v>
      </c>
    </row>
    <row r="62" spans="1:16" ht="11.25">
      <c r="A62" s="3" t="s">
        <v>55</v>
      </c>
      <c r="B62" s="3"/>
      <c r="C62" s="50">
        <f>C36/C28</f>
        <v>0.061823802163833076</v>
      </c>
      <c r="D62" s="39">
        <f>(D36/0.75)/D28</f>
        <v>0.08080193897629484</v>
      </c>
      <c r="E62" s="39">
        <f>(E36/0.5)/E28</f>
        <v>0.07321523606781723</v>
      </c>
      <c r="F62" s="40">
        <f>(F36/0.25)/F28</f>
        <v>0.04192025051137655</v>
      </c>
      <c r="G62" s="50">
        <f>G36/G28</f>
        <v>0.06760722746720413</v>
      </c>
      <c r="H62" s="50">
        <f>(H36/0.75)/H28</f>
        <v>0.062438367366572864</v>
      </c>
      <c r="I62" s="39">
        <f>(I36/0.5)/I28</f>
        <v>0.0494730506414266</v>
      </c>
      <c r="J62" s="39">
        <f>(J36/0.25)/J28</f>
        <v>0.07676186376355171</v>
      </c>
      <c r="K62" s="51">
        <f>K36/K28</f>
        <v>0.033618718902685016</v>
      </c>
      <c r="L62" s="50">
        <f>(L36/0.75)/L28</f>
        <v>0.018263422264008813</v>
      </c>
      <c r="M62" s="50">
        <f>(M36/0.5)/M28</f>
        <v>0.018548900123882547</v>
      </c>
      <c r="N62" s="39">
        <f>(N36/0.25)/N28</f>
        <v>0.011662773553335653</v>
      </c>
      <c r="O62" s="39">
        <f>O36/O28</f>
        <v>0.024001700691934743</v>
      </c>
      <c r="P62" s="39">
        <f>P36/P27</f>
        <v>0.013135599356978377</v>
      </c>
    </row>
    <row r="63" spans="1:14" ht="11.25">
      <c r="A63" s="11" t="s">
        <v>56</v>
      </c>
      <c r="B63" s="12"/>
      <c r="C63" s="12"/>
      <c r="E63" s="18"/>
      <c r="F63" s="26"/>
      <c r="G63" s="11"/>
      <c r="H63" s="11"/>
      <c r="K63" s="28"/>
      <c r="L63" s="4"/>
      <c r="M63" s="4"/>
      <c r="N63" s="4"/>
    </row>
    <row r="64" spans="1:16" ht="11.25">
      <c r="A64" s="2" t="s">
        <v>57</v>
      </c>
      <c r="C64" s="4">
        <v>9</v>
      </c>
      <c r="D64" s="18">
        <v>9</v>
      </c>
      <c r="E64" s="18">
        <v>8</v>
      </c>
      <c r="F64" s="29">
        <v>9</v>
      </c>
      <c r="G64" s="2">
        <v>9</v>
      </c>
      <c r="H64" s="20">
        <v>9</v>
      </c>
      <c r="I64" s="20">
        <v>9</v>
      </c>
      <c r="J64" s="2">
        <v>9</v>
      </c>
      <c r="K64" s="22">
        <v>9</v>
      </c>
      <c r="L64" s="18">
        <v>9</v>
      </c>
      <c r="M64" s="18">
        <v>9</v>
      </c>
      <c r="N64" s="18">
        <v>9</v>
      </c>
      <c r="O64" s="20">
        <v>9</v>
      </c>
      <c r="P64" s="20">
        <v>8</v>
      </c>
    </row>
    <row r="65" spans="1:16" ht="11.25">
      <c r="A65" s="2" t="s">
        <v>58</v>
      </c>
      <c r="C65" s="4">
        <v>1</v>
      </c>
      <c r="D65" s="18">
        <v>1</v>
      </c>
      <c r="E65" s="18">
        <v>1</v>
      </c>
      <c r="F65" s="29">
        <v>1</v>
      </c>
      <c r="G65" s="2">
        <v>1</v>
      </c>
      <c r="H65" s="20">
        <v>1</v>
      </c>
      <c r="I65" s="20">
        <v>1</v>
      </c>
      <c r="J65" s="2">
        <v>1</v>
      </c>
      <c r="K65" s="22">
        <v>1</v>
      </c>
      <c r="L65" s="18">
        <v>1</v>
      </c>
      <c r="M65" s="18">
        <v>1</v>
      </c>
      <c r="N65" s="18">
        <v>1</v>
      </c>
      <c r="O65" s="20">
        <v>1</v>
      </c>
      <c r="P65" s="20">
        <v>1</v>
      </c>
    </row>
    <row r="66" spans="1:16" ht="11.25">
      <c r="A66" s="2" t="s">
        <v>59</v>
      </c>
      <c r="C66" s="18">
        <f aca="true" t="shared" si="17" ref="C66:P66">C12/C64</f>
        <v>0</v>
      </c>
      <c r="D66" s="18">
        <f t="shared" si="17"/>
        <v>0</v>
      </c>
      <c r="E66" s="18">
        <f t="shared" si="17"/>
        <v>979.625</v>
      </c>
      <c r="F66" s="19">
        <f t="shared" si="17"/>
        <v>2705.222222222222</v>
      </c>
      <c r="G66" s="20">
        <f t="shared" si="17"/>
        <v>2970.5555555555557</v>
      </c>
      <c r="H66" s="20">
        <f t="shared" si="17"/>
        <v>3065.8888888888887</v>
      </c>
      <c r="I66" s="20">
        <f t="shared" si="17"/>
        <v>3292.5555555555557</v>
      </c>
      <c r="J66" s="20">
        <f t="shared" si="17"/>
        <v>3399.8888888888887</v>
      </c>
      <c r="K66" s="22">
        <f t="shared" si="17"/>
        <v>3816.1111111111113</v>
      </c>
      <c r="L66" s="18">
        <f t="shared" si="17"/>
        <v>3800</v>
      </c>
      <c r="M66" s="18">
        <f t="shared" si="17"/>
        <v>3931.6666666666665</v>
      </c>
      <c r="N66" s="18">
        <f t="shared" si="17"/>
        <v>4277.666666666667</v>
      </c>
      <c r="O66" s="20">
        <f t="shared" si="17"/>
        <v>6415.888888888889</v>
      </c>
      <c r="P66" s="20">
        <f t="shared" si="17"/>
        <v>8140.125</v>
      </c>
    </row>
    <row r="67" spans="1:16" ht="11.25">
      <c r="A67" s="2" t="s">
        <v>60</v>
      </c>
      <c r="C67" s="18">
        <f aca="true" t="shared" si="18" ref="C67:P67">+C16/C64</f>
        <v>0</v>
      </c>
      <c r="D67" s="18">
        <f t="shared" si="18"/>
        <v>0</v>
      </c>
      <c r="E67" s="18">
        <f t="shared" si="18"/>
        <v>1798.5</v>
      </c>
      <c r="F67" s="19">
        <f t="shared" si="18"/>
        <v>7946.888888888889</v>
      </c>
      <c r="G67" s="20">
        <f t="shared" si="18"/>
        <v>8269.555555555555</v>
      </c>
      <c r="H67" s="20">
        <f t="shared" si="18"/>
        <v>8264.666666666666</v>
      </c>
      <c r="I67" s="20">
        <f t="shared" si="18"/>
        <v>8387.111111111111</v>
      </c>
      <c r="J67" s="20">
        <f t="shared" si="18"/>
        <v>9051.888888888889</v>
      </c>
      <c r="K67" s="22">
        <f t="shared" si="18"/>
        <v>9732.555555555555</v>
      </c>
      <c r="L67" s="18">
        <f t="shared" si="18"/>
        <v>10230</v>
      </c>
      <c r="M67" s="18">
        <f t="shared" si="18"/>
        <v>10598.333333333334</v>
      </c>
      <c r="N67" s="18">
        <f t="shared" si="18"/>
        <v>10942</v>
      </c>
      <c r="O67" s="20">
        <f t="shared" si="18"/>
        <v>13612.444444444445</v>
      </c>
      <c r="P67" s="20">
        <f t="shared" si="18"/>
        <v>17699.5</v>
      </c>
    </row>
    <row r="68" spans="1:16" ht="11.25">
      <c r="A68" s="3" t="s">
        <v>61</v>
      </c>
      <c r="B68" s="3"/>
      <c r="C68" s="23">
        <f aca="true" t="shared" si="19" ref="C68:P68">+C40/C64</f>
        <v>-92.33333333333333</v>
      </c>
      <c r="D68" s="23">
        <f t="shared" si="19"/>
        <v>-50.333333333333336</v>
      </c>
      <c r="E68" s="23">
        <f t="shared" si="19"/>
        <v>-63.5</v>
      </c>
      <c r="F68" s="24">
        <f t="shared" si="19"/>
        <v>-27.666666666666668</v>
      </c>
      <c r="G68" s="23">
        <f t="shared" si="19"/>
        <v>91.22222222222223</v>
      </c>
      <c r="H68" s="23">
        <f t="shared" si="19"/>
        <v>84.88888888888889</v>
      </c>
      <c r="I68" s="23">
        <f t="shared" si="19"/>
        <v>43</v>
      </c>
      <c r="J68" s="23">
        <f t="shared" si="19"/>
        <v>60.666666666666664</v>
      </c>
      <c r="K68" s="25">
        <f t="shared" si="19"/>
        <v>134</v>
      </c>
      <c r="L68" s="23">
        <f t="shared" si="19"/>
        <v>47.111111111111114</v>
      </c>
      <c r="M68" s="23">
        <f t="shared" si="19"/>
        <v>38.22222222222222</v>
      </c>
      <c r="N68" s="23">
        <f t="shared" si="19"/>
        <v>39.666666666666664</v>
      </c>
      <c r="O68" s="23">
        <f t="shared" si="19"/>
        <v>141.55555555555554</v>
      </c>
      <c r="P68" s="23">
        <f t="shared" si="19"/>
        <v>213.375</v>
      </c>
    </row>
    <row r="69" spans="1:14" ht="11.25">
      <c r="A69" s="11" t="s">
        <v>62</v>
      </c>
      <c r="B69" s="12"/>
      <c r="C69" s="12"/>
      <c r="D69" s="5"/>
      <c r="E69" s="18"/>
      <c r="F69" s="26"/>
      <c r="G69" s="11"/>
      <c r="H69" s="11"/>
      <c r="K69" s="28"/>
      <c r="L69" s="4"/>
      <c r="M69" s="4"/>
      <c r="N69" s="4"/>
    </row>
    <row r="70" spans="1:16" ht="11.25">
      <c r="A70" s="2" t="s">
        <v>63</v>
      </c>
      <c r="C70" s="48">
        <f aca="true" t="shared" si="20" ref="C70:I70">(C10/G10)-1</f>
        <v>-0.9686963875800411</v>
      </c>
      <c r="D70" s="37">
        <f t="shared" si="20"/>
        <v>-0.9683202181348514</v>
      </c>
      <c r="E70" s="37">
        <f t="shared" si="20"/>
        <v>-0.7331462703822347</v>
      </c>
      <c r="F70" s="38">
        <f t="shared" si="20"/>
        <v>-0.08927708347718011</v>
      </c>
      <c r="G70" s="43">
        <f t="shared" si="20"/>
        <v>-0.1279657802688693</v>
      </c>
      <c r="H70" s="43">
        <f t="shared" si="20"/>
        <v>-0.15542492374199546</v>
      </c>
      <c r="I70" s="43">
        <f t="shared" si="20"/>
        <v>-0.19041815753297775</v>
      </c>
      <c r="J70" s="43">
        <f>+(J10/N10)-1</f>
        <v>-0.18584518522682558</v>
      </c>
      <c r="K70" s="44">
        <f>+(K10/O10)-1</f>
        <v>-0.26951730082502157</v>
      </c>
      <c r="L70" s="37">
        <f>+(L10/135177)-1</f>
        <v>-0.26758250294058905</v>
      </c>
      <c r="M70" s="37">
        <f>+(M10/140509)-1</f>
        <v>-0.27001829064330396</v>
      </c>
      <c r="N70" s="37">
        <f>+(N10/140896)-1</f>
        <v>-0.24246252555076087</v>
      </c>
      <c r="O70" s="43">
        <f>+(O10/P10)-1</f>
        <v>-0.12417851293147031</v>
      </c>
      <c r="P70" s="43">
        <f>(P10/127837)-1</f>
        <v>0.16053255317318138</v>
      </c>
    </row>
    <row r="71" spans="1:16" ht="11.25">
      <c r="A71" s="2" t="s">
        <v>64</v>
      </c>
      <c r="C71" s="48">
        <f aca="true" t="shared" si="21" ref="C71:I71">(C12/G12)-1</f>
        <v>-1</v>
      </c>
      <c r="D71" s="37">
        <f t="shared" si="21"/>
        <v>-1</v>
      </c>
      <c r="E71" s="37">
        <f t="shared" si="21"/>
        <v>-0.7355313333108359</v>
      </c>
      <c r="F71" s="38">
        <f t="shared" si="21"/>
        <v>-0.2043204026275368</v>
      </c>
      <c r="G71" s="43">
        <f t="shared" si="21"/>
        <v>-0.221575192895618</v>
      </c>
      <c r="H71" s="43">
        <f t="shared" si="21"/>
        <v>-0.19318713450292402</v>
      </c>
      <c r="I71" s="43">
        <f t="shared" si="21"/>
        <v>-0.16255475483962134</v>
      </c>
      <c r="J71" s="43">
        <f aca="true" t="shared" si="22" ref="J71:P71">SUM(J72:J73)</f>
        <v>-0.20520013506844337</v>
      </c>
      <c r="K71" s="44">
        <f t="shared" si="22"/>
        <v>-0.40520928943768075</v>
      </c>
      <c r="L71" s="37">
        <f t="shared" si="22"/>
        <v>-0.4207807604369549</v>
      </c>
      <c r="M71" s="37">
        <f t="shared" si="22"/>
        <v>-0.4491406687838595</v>
      </c>
      <c r="N71" s="37">
        <f t="shared" si="22"/>
        <v>-0.3848132819865454</v>
      </c>
      <c r="O71" s="43">
        <f t="shared" si="22"/>
        <v>-0.11329678598301618</v>
      </c>
      <c r="P71" s="43">
        <f t="shared" si="22"/>
        <v>0.37464378443417146</v>
      </c>
    </row>
    <row r="72" spans="2:16" ht="11.25">
      <c r="B72" s="4" t="s">
        <v>15</v>
      </c>
      <c r="C72" s="48">
        <v>0</v>
      </c>
      <c r="D72" s="37">
        <v>0</v>
      </c>
      <c r="E72" s="37">
        <v>0</v>
      </c>
      <c r="F72" s="38">
        <v>0</v>
      </c>
      <c r="G72" s="43">
        <v>0</v>
      </c>
      <c r="H72" s="43">
        <v>0</v>
      </c>
      <c r="I72" s="43">
        <v>0</v>
      </c>
      <c r="J72" s="43">
        <v>0</v>
      </c>
      <c r="K72" s="44">
        <v>0</v>
      </c>
      <c r="L72" s="37">
        <v>0</v>
      </c>
      <c r="M72" s="37">
        <v>0</v>
      </c>
      <c r="N72" s="37">
        <v>0</v>
      </c>
      <c r="O72" s="43">
        <v>0</v>
      </c>
      <c r="P72" s="43">
        <v>0</v>
      </c>
    </row>
    <row r="73" spans="2:16" ht="11.25">
      <c r="B73" s="4" t="s">
        <v>16</v>
      </c>
      <c r="C73" s="48">
        <f aca="true" t="shared" si="23" ref="C73:I73">(C14/G14)-1</f>
        <v>-1</v>
      </c>
      <c r="D73" s="37">
        <f t="shared" si="23"/>
        <v>-1</v>
      </c>
      <c r="E73" s="37">
        <f t="shared" si="23"/>
        <v>-0.7355313333108359</v>
      </c>
      <c r="F73" s="38">
        <f t="shared" si="23"/>
        <v>-0.2043204026275368</v>
      </c>
      <c r="G73" s="43">
        <f t="shared" si="23"/>
        <v>-0.221575192895618</v>
      </c>
      <c r="H73" s="43">
        <f t="shared" si="23"/>
        <v>-0.19318713450292402</v>
      </c>
      <c r="I73" s="43">
        <f t="shared" si="23"/>
        <v>-0.16255475483962134</v>
      </c>
      <c r="J73" s="43">
        <f>+(J14/N14)-1</f>
        <v>-0.20520013506844337</v>
      </c>
      <c r="K73" s="44">
        <f>+(K14/O14)-1</f>
        <v>-0.40520928943768075</v>
      </c>
      <c r="L73" s="37">
        <f>+(L14/59045)-1</f>
        <v>-0.4207807604369549</v>
      </c>
      <c r="M73" s="37">
        <f>+(M14/64236)-1</f>
        <v>-0.4491406687838595</v>
      </c>
      <c r="N73" s="37">
        <f>+(N14/62581)-1</f>
        <v>-0.3848132819865454</v>
      </c>
      <c r="O73" s="43">
        <f>+(O14/P14)-1</f>
        <v>-0.11329678598301618</v>
      </c>
      <c r="P73" s="43">
        <f>+(P14/47373)-1</f>
        <v>0.37464378443417146</v>
      </c>
    </row>
    <row r="74" spans="1:16" ht="11.25">
      <c r="A74" s="2" t="s">
        <v>65</v>
      </c>
      <c r="C74" s="48">
        <f aca="true" t="shared" si="24" ref="C74:I74">(C16/G16)-1</f>
        <v>-1</v>
      </c>
      <c r="D74" s="37">
        <f t="shared" si="24"/>
        <v>-1</v>
      </c>
      <c r="E74" s="37">
        <f t="shared" si="24"/>
        <v>-0.8093900694186847</v>
      </c>
      <c r="F74" s="38">
        <f t="shared" si="24"/>
        <v>-0.12207396860078312</v>
      </c>
      <c r="G74" s="43">
        <f t="shared" si="24"/>
        <v>-0.15032023106869274</v>
      </c>
      <c r="H74" s="43">
        <f t="shared" si="24"/>
        <v>-0.19211469534050174</v>
      </c>
      <c r="I74" s="43">
        <f t="shared" si="24"/>
        <v>-0.20863867484405307</v>
      </c>
      <c r="J74" s="43">
        <f aca="true" t="shared" si="25" ref="J74:P74">SUM(J75:J76)</f>
        <v>-0.17273908893356893</v>
      </c>
      <c r="K74" s="44">
        <f t="shared" si="25"/>
        <v>-0.2850251403944103</v>
      </c>
      <c r="L74" s="37">
        <f t="shared" si="25"/>
        <v>-0.2880836948201072</v>
      </c>
      <c r="M74" s="37">
        <f t="shared" si="25"/>
        <v>-0.2873419802157736</v>
      </c>
      <c r="N74" s="37">
        <f t="shared" si="25"/>
        <v>-0.2761259307718883</v>
      </c>
      <c r="O74" s="43">
        <f t="shared" si="25"/>
        <v>-0.13477781858244586</v>
      </c>
      <c r="P74" s="43">
        <f t="shared" si="25"/>
        <v>0.15763397784409117</v>
      </c>
    </row>
    <row r="75" spans="2:16" ht="11.25">
      <c r="B75" s="4" t="s">
        <v>15</v>
      </c>
      <c r="C75" s="48">
        <v>0</v>
      </c>
      <c r="D75" s="37">
        <v>0</v>
      </c>
      <c r="E75" s="37">
        <v>0</v>
      </c>
      <c r="F75" s="38">
        <v>0</v>
      </c>
      <c r="G75" s="43">
        <v>0</v>
      </c>
      <c r="H75" s="43">
        <v>0</v>
      </c>
      <c r="I75" s="43">
        <v>0</v>
      </c>
      <c r="J75" s="43">
        <v>0</v>
      </c>
      <c r="K75" s="44">
        <v>0</v>
      </c>
      <c r="L75" s="37">
        <v>0</v>
      </c>
      <c r="M75" s="37">
        <v>0</v>
      </c>
      <c r="N75" s="37">
        <v>0</v>
      </c>
      <c r="O75" s="43">
        <v>0</v>
      </c>
      <c r="P75" s="43">
        <v>0</v>
      </c>
    </row>
    <row r="76" spans="2:16" ht="11.25">
      <c r="B76" s="4" t="s">
        <v>16</v>
      </c>
      <c r="C76" s="48">
        <f aca="true" t="shared" si="26" ref="C76:I76">(C21/G21)-1</f>
        <v>-1</v>
      </c>
      <c r="D76" s="37">
        <f t="shared" si="26"/>
        <v>-1</v>
      </c>
      <c r="E76" s="37">
        <f t="shared" si="26"/>
        <v>-0.8093900694186847</v>
      </c>
      <c r="F76" s="38">
        <f t="shared" si="26"/>
        <v>-0.12207396860078312</v>
      </c>
      <c r="G76" s="43">
        <f t="shared" si="26"/>
        <v>-0.15032023106869274</v>
      </c>
      <c r="H76" s="43">
        <f t="shared" si="26"/>
        <v>-0.19211469534050174</v>
      </c>
      <c r="I76" s="43">
        <f t="shared" si="26"/>
        <v>-0.20863867484405307</v>
      </c>
      <c r="J76" s="43">
        <f>+(J21/N21)-1</f>
        <v>-0.17273908893356893</v>
      </c>
      <c r="K76" s="44">
        <f>+(K21/O21)-1</f>
        <v>-0.2850251403944103</v>
      </c>
      <c r="L76" s="37">
        <f>+(L21/129327)-1</f>
        <v>-0.2880836948201072</v>
      </c>
      <c r="M76" s="37">
        <f>+(M21/133844)-1</f>
        <v>-0.2873419802157736</v>
      </c>
      <c r="N76" s="37">
        <f>+(N21/136043)-1</f>
        <v>-0.2761259307718883</v>
      </c>
      <c r="O76" s="43">
        <f>+(O21/P21)-1</f>
        <v>-0.13477781858244586</v>
      </c>
      <c r="P76" s="43">
        <f>+(P21/122315)-1</f>
        <v>0.15763397784409117</v>
      </c>
    </row>
    <row r="77" spans="1:16" ht="11.25">
      <c r="A77" s="2" t="s">
        <v>66</v>
      </c>
      <c r="C77" s="48">
        <f aca="true" t="shared" si="27" ref="C77:I77">(C25/G25)-1</f>
        <v>-0.43260926459042137</v>
      </c>
      <c r="D77" s="37">
        <f t="shared" si="27"/>
        <v>-0.32332624867162596</v>
      </c>
      <c r="E77" s="37">
        <f t="shared" si="27"/>
        <v>-0.2640283520378027</v>
      </c>
      <c r="F77" s="38">
        <f t="shared" si="27"/>
        <v>-0.2242595204513399</v>
      </c>
      <c r="G77" s="43">
        <f t="shared" si="27"/>
        <v>0.12283279459300611</v>
      </c>
      <c r="H77" s="43">
        <f t="shared" si="27"/>
        <v>0.694732102656461</v>
      </c>
      <c r="I77" s="43">
        <f t="shared" si="27"/>
        <v>0.5800279981334577</v>
      </c>
      <c r="J77" s="37">
        <f>+(J25/N25)-1</f>
        <v>0.6442486085343229</v>
      </c>
      <c r="K77" s="44">
        <f>+(K25/O25)-1</f>
        <v>0.8905555555555555</v>
      </c>
      <c r="L77" s="37">
        <f>+(L25/1792)-1</f>
        <v>0.2393973214285714</v>
      </c>
      <c r="M77" s="37">
        <f>+(M25/1764)-1</f>
        <v>0.21485260770975056</v>
      </c>
      <c r="N77" s="37">
        <f>+(N25/1462)-1</f>
        <v>0.4746922024623803</v>
      </c>
      <c r="O77" s="37">
        <f>+(O25/P25)-1</f>
        <v>0.2857142857142858</v>
      </c>
      <c r="P77" s="37">
        <f>(P25/1000)-1</f>
        <v>0.3999999999999999</v>
      </c>
    </row>
    <row r="78" spans="1:16" ht="11.25">
      <c r="A78" s="3" t="s">
        <v>67</v>
      </c>
      <c r="B78" s="3"/>
      <c r="C78" s="50">
        <f aca="true" t="shared" si="28" ref="C78:I78">(C40/G40)-1</f>
        <v>-2.0121802679658956</v>
      </c>
      <c r="D78" s="39">
        <f t="shared" si="28"/>
        <v>-1.5929319371727748</v>
      </c>
      <c r="E78" s="39">
        <f t="shared" si="28"/>
        <v>-2.3126614987080103</v>
      </c>
      <c r="F78" s="40">
        <f t="shared" si="28"/>
        <v>-1.456043956043956</v>
      </c>
      <c r="G78" s="39">
        <f t="shared" si="28"/>
        <v>-0.3192371475953566</v>
      </c>
      <c r="H78" s="39">
        <f t="shared" si="28"/>
        <v>0.8018867924528301</v>
      </c>
      <c r="I78" s="39">
        <f t="shared" si="28"/>
        <v>0.125</v>
      </c>
      <c r="J78" s="39">
        <f>+(J40/N40)-1</f>
        <v>0.5294117647058822</v>
      </c>
      <c r="K78" s="47">
        <f>+(K40/O40)-1</f>
        <v>-0.053375196232339106</v>
      </c>
      <c r="L78" s="39">
        <f>+(L40/393)-1</f>
        <v>0.07888040712468203</v>
      </c>
      <c r="M78" s="39">
        <f>+(M40/364)-1</f>
        <v>-0.05494505494505497</v>
      </c>
      <c r="N78" s="39">
        <f>+(N40/62)-1</f>
        <v>4.758064516129032</v>
      </c>
      <c r="O78" s="39">
        <f>+(O40/P40)-1</f>
        <v>-0.25366139425893375</v>
      </c>
      <c r="P78" s="39">
        <f>+(P40/918)-1</f>
        <v>0.8594771241830066</v>
      </c>
    </row>
    <row r="79" spans="5:6" ht="11.25">
      <c r="E79" s="4"/>
      <c r="F79" s="4"/>
    </row>
    <row r="80" spans="5:6" ht="11.25">
      <c r="E80" s="4"/>
      <c r="F80" s="4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2017-06-16T17:21:27Z</dcterms:created>
  <dcterms:modified xsi:type="dcterms:W3CDTF">2017-06-16T17:21:30Z</dcterms:modified>
  <cp:category/>
  <cp:version/>
  <cp:contentType/>
  <cp:contentStatus/>
</cp:coreProperties>
</file>