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banco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<sst xmlns="http://schemas.openxmlformats.org/spreadsheetml/2006/main" count="115" uniqueCount="71">
  <si>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CUADRO No 18-8</t>
  </si>
  <si>
    <t>MIBANCO, S.A. (BMF) (1)</t>
  </si>
  <si>
    <t>ESTADISTICA FINANCIERA.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</si>
  <si>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</si>
  <si>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</si>
  <si>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</si>
  <si>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</si>
  <si>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</si>
  <si>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</si>
  <si>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</si>
  <si>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</si>
  <si>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</si>
  <si>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</si>
  <si>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</si>
  <si>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</si>
  <si>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</si>
  <si>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</si>
  <si>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</si>
  <si>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</si>
  <si>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</si>
  <si>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</si>
  <si>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</si>
  <si>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</si>
  <si>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</si>
  <si>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N.A.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</si>
  <si>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</si>
  <si>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</si>
  <si>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</si>
  <si>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</si>
  <si>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</si>
  <si>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</si>
  <si>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</si>
  <si>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</si>
  <si>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</si>
  <si>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</si>
  <si>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</si>
  <si>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</si>
  <si>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</si>
  <si>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</si>
  <si>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</si>
  <si>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</si>
  <si>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</si>
  <si>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</si>
  <si>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</si>
  <si>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</si>
  <si>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</si>
  <si>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</si>
  <si>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</si>
  <si>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</si>
  <si>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</si>
  <si>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</si>
  <si>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</si>
  <si>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</si>
  <si>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</si>
  <si>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</si>
  <si>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</si>
  <si>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</si>
  <si>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</si>
  <si>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</si>
  <si>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</si>
  <si>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</si>
  <si>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</si>
  <si>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</si>
  <si>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</si>
  <si>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</si>
  <si>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</si>
  <si>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</si>
  <si>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</si>
  <si>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</si>
  <si>
    <t>NOTA:</t>
  </si>
  <si>
    <t>Banco de Micro Finanzas.</t>
  </si>
</sst>
</file>

<file path=xl/styles.xml><?xml version="1.0" encoding="utf-8"?>
<styleSheet xmlns="http://schemas.openxmlformats.org/spreadsheetml/2006/main">
  <numFmts count="6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"/>
    <numFmt numFmtId="208" formatCode="_ * #,##0.0_ ;_ * \-#,##0.0_ ;_ * &quot;-&quot;??_ ;_ @_ "/>
    <numFmt numFmtId="209" formatCode="_ * #,##0_ ;_ * \-#,##0_ ;_ * &quot;-&quot;??_ ;_ @_ "/>
    <numFmt numFmtId="210" formatCode="0.000%"/>
    <numFmt numFmtId="211" formatCode="0.0000%"/>
    <numFmt numFmtId="212" formatCode="0.00000%"/>
    <numFmt numFmtId="213" formatCode="0.000000%"/>
    <numFmt numFmtId="214" formatCode="_(* #,##0.0000_);_(* \(#,##0.0000\);_(* &quot;-&quot;??_);_(@_)"/>
    <numFmt numFmtId="215" formatCode="_ * #,##0.0_ ;_ * \-#,##0.0_ ;_ * &quot;-&quot;?_ ;_ @_ "/>
    <numFmt numFmtId="216" formatCode="#,##0_ ;\-#,##0\ "/>
    <numFmt numFmtId="217" formatCode="#,##0.00000_ ;\-#,##0.00000\ "/>
    <numFmt numFmtId="218" formatCode="#,##0.0000_ ;\-#,##0.0000\ "/>
    <numFmt numFmtId="219" formatCode="#,##0.000_ ;\-#,##0.000\ "/>
    <numFmt numFmtId="220" formatCode="#,##0.00_ ;\-#,##0.00\ "/>
    <numFmt numFmtId="221" formatCode="#,##0.0_ ;\-#,##0.0\ "/>
    <numFmt numFmtId="222" formatCode="_-* #,##0.0\ _€_-;\-* #,##0.0\ _€_-;_-* &quot;-&quot;??\ _€_-;_-@_-"/>
    <numFmt numFmtId="223" formatCode="_-* #,##0\ _€_-;\-* #,##0\ _€_-;_-* &quot;-&quot;??\ _€_-;_-@_-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Alignment="1">
      <alignment/>
    </xf>
    <xf numFmtId="195" fontId="1" fillId="0" borderId="0" xfId="46" applyNumberFormat="1" applyFont="1" applyFill="1" applyAlignment="1">
      <alignment/>
    </xf>
    <xf numFmtId="49" fontId="1" fillId="0" borderId="0" xfId="46" applyNumberFormat="1" applyFont="1" applyFill="1" applyAlignment="1">
      <alignment/>
    </xf>
    <xf numFmtId="195" fontId="3" fillId="0" borderId="0" xfId="46" applyNumberFormat="1" applyFont="1" applyFill="1" applyAlignment="1">
      <alignment/>
    </xf>
    <xf numFmtId="195" fontId="3" fillId="0" borderId="10" xfId="46" applyNumberFormat="1" applyFont="1" applyFill="1" applyBorder="1" applyAlignment="1">
      <alignment/>
    </xf>
    <xf numFmtId="195" fontId="3" fillId="0" borderId="0" xfId="46" applyNumberFormat="1" applyFont="1" applyFill="1" applyBorder="1" applyAlignment="1">
      <alignment/>
    </xf>
    <xf numFmtId="49" fontId="3" fillId="0" borderId="11" xfId="46" applyNumberFormat="1" applyFont="1" applyFill="1" applyBorder="1" applyAlignment="1">
      <alignment/>
    </xf>
    <xf numFmtId="49" fontId="3" fillId="0" borderId="0" xfId="46" applyNumberFormat="1" applyFont="1" applyFill="1" applyAlignment="1">
      <alignment/>
    </xf>
    <xf numFmtId="195" fontId="3" fillId="0" borderId="10" xfId="46" applyNumberFormat="1" applyFont="1" applyFill="1" applyBorder="1" applyAlignment="1">
      <alignment horizontal="center"/>
    </xf>
    <xf numFmtId="195" fontId="3" fillId="0" borderId="12" xfId="46" applyNumberFormat="1" applyFont="1" applyFill="1" applyBorder="1" applyAlignment="1">
      <alignment horizontal="center"/>
    </xf>
    <xf numFmtId="195" fontId="3" fillId="0" borderId="13" xfId="46" applyNumberFormat="1" applyFont="1" applyFill="1" applyBorder="1" applyAlignment="1">
      <alignment horizontal="center"/>
    </xf>
    <xf numFmtId="195" fontId="3" fillId="0" borderId="14" xfId="46" applyNumberFormat="1" applyFont="1" applyFill="1" applyBorder="1" applyAlignment="1">
      <alignment horizontal="center"/>
    </xf>
    <xf numFmtId="195" fontId="3" fillId="0" borderId="10" xfId="46" applyNumberFormat="1" applyFont="1" applyFill="1" applyBorder="1" applyAlignment="1">
      <alignment horizontal="right"/>
    </xf>
    <xf numFmtId="195" fontId="3" fillId="0" borderId="12" xfId="46" applyNumberFormat="1" applyFont="1" applyFill="1" applyBorder="1" applyAlignment="1">
      <alignment horizontal="right"/>
    </xf>
    <xf numFmtId="195" fontId="2" fillId="0" borderId="0" xfId="46" applyNumberFormat="1" applyFont="1" applyFill="1" applyAlignment="1">
      <alignment/>
    </xf>
    <xf numFmtId="195" fontId="2" fillId="0" borderId="0" xfId="46" applyNumberFormat="1" applyFont="1" applyFill="1" applyBorder="1" applyAlignment="1">
      <alignment/>
    </xf>
    <xf numFmtId="195" fontId="2" fillId="0" borderId="15" xfId="46" applyNumberFormat="1" applyFont="1" applyFill="1" applyBorder="1" applyAlignment="1">
      <alignment/>
    </xf>
    <xf numFmtId="195" fontId="2" fillId="0" borderId="16" xfId="46" applyNumberFormat="1" applyFont="1" applyFill="1" applyBorder="1" applyAlignment="1">
      <alignment/>
    </xf>
    <xf numFmtId="195" fontId="3" fillId="0" borderId="15" xfId="46" applyNumberFormat="1" applyFont="1" applyFill="1" applyBorder="1" applyAlignment="1">
      <alignment/>
    </xf>
    <xf numFmtId="195" fontId="3" fillId="0" borderId="16" xfId="46" applyNumberFormat="1" applyFont="1" applyFill="1" applyBorder="1" applyAlignment="1">
      <alignment/>
    </xf>
    <xf numFmtId="195" fontId="3" fillId="0" borderId="12" xfId="46" applyNumberFormat="1" applyFont="1" applyFill="1" applyBorder="1" applyAlignment="1">
      <alignment/>
    </xf>
    <xf numFmtId="195" fontId="3" fillId="0" borderId="13" xfId="46" applyNumberFormat="1" applyFont="1" applyFill="1" applyBorder="1" applyAlignment="1">
      <alignment/>
    </xf>
    <xf numFmtId="195" fontId="3" fillId="0" borderId="15" xfId="46" applyNumberFormat="1" applyFont="1" applyFill="1" applyBorder="1" applyAlignment="1">
      <alignment horizontal="right"/>
    </xf>
    <xf numFmtId="195" fontId="3" fillId="0" borderId="0" xfId="46" applyNumberFormat="1" applyFont="1" applyFill="1" applyAlignment="1">
      <alignment horizontal="right"/>
    </xf>
    <xf numFmtId="195" fontId="3" fillId="0" borderId="16" xfId="46" applyNumberFormat="1" applyFont="1" applyFill="1" applyBorder="1" applyAlignment="1">
      <alignment horizontal="right"/>
    </xf>
    <xf numFmtId="195" fontId="3" fillId="0" borderId="0" xfId="46" applyNumberFormat="1" applyFont="1" applyFill="1" applyBorder="1" applyAlignment="1">
      <alignment horizontal="right"/>
    </xf>
    <xf numFmtId="10" fontId="3" fillId="0" borderId="0" xfId="52" applyNumberFormat="1" applyFont="1" applyFill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5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2" xfId="52" applyNumberFormat="1" applyFont="1" applyFill="1" applyBorder="1" applyAlignment="1">
      <alignment/>
    </xf>
    <xf numFmtId="10" fontId="3" fillId="0" borderId="13" xfId="52" applyNumberFormat="1" applyFont="1" applyFill="1" applyBorder="1" applyAlignment="1">
      <alignment/>
    </xf>
    <xf numFmtId="10" fontId="3" fillId="0" borderId="11" xfId="52" applyNumberFormat="1" applyFont="1" applyFill="1" applyBorder="1" applyAlignment="1">
      <alignment/>
    </xf>
    <xf numFmtId="195" fontId="3" fillId="0" borderId="17" xfId="46" applyNumberFormat="1" applyFont="1" applyFill="1" applyBorder="1" applyAlignment="1">
      <alignment/>
    </xf>
    <xf numFmtId="195" fontId="3" fillId="0" borderId="18" xfId="46" applyNumberFormat="1" applyFont="1" applyFill="1" applyBorder="1" applyAlignment="1">
      <alignment/>
    </xf>
    <xf numFmtId="10" fontId="3" fillId="0" borderId="0" xfId="52" applyNumberFormat="1" applyFont="1" applyFill="1" applyBorder="1" applyAlignment="1">
      <alignment horizontal="right"/>
    </xf>
    <xf numFmtId="195" fontId="3" fillId="0" borderId="0" xfId="46" applyNumberFormat="1" applyFont="1" applyFill="1" applyAlignment="1">
      <alignment horizontal="center"/>
    </xf>
    <xf numFmtId="195" fontId="2" fillId="0" borderId="0" xfId="46" applyNumberFormat="1" applyFont="1" applyFill="1" applyAlignment="1">
      <alignment horizontal="center"/>
    </xf>
    <xf numFmtId="49" fontId="2" fillId="0" borderId="14" xfId="46" applyNumberFormat="1" applyFont="1" applyFill="1" applyBorder="1" applyAlignment="1">
      <alignment horizontal="center"/>
    </xf>
    <xf numFmtId="49" fontId="2" fillId="0" borderId="11" xfId="46" applyNumberFormat="1" applyFont="1" applyFill="1" applyBorder="1" applyAlignment="1">
      <alignment horizontal="center"/>
    </xf>
    <xf numFmtId="49" fontId="2" fillId="0" borderId="19" xfId="46" applyNumberFormat="1" applyFont="1" applyFill="1" applyBorder="1" applyAlignment="1">
      <alignment horizontal="center"/>
    </xf>
    <xf numFmtId="49" fontId="2" fillId="0" borderId="20" xfId="46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"/>
    </sheetView>
  </sheetViews>
  <sheetFormatPr defaultColWidth="11.421875" defaultRowHeight="12.75"/>
  <cols>
    <col min="1" max="1" width="3.7109375" style="3" customWidth="1"/>
    <col min="2" max="2" width="27.8515625" style="3" customWidth="1"/>
    <col min="3" max="3" width="7.140625" style="3" bestFit="1" customWidth="1"/>
    <col min="4" max="4" width="8.7109375" style="3" bestFit="1" customWidth="1"/>
    <col min="5" max="6" width="6.7109375" style="3" bestFit="1" customWidth="1"/>
    <col min="7" max="7" width="7.140625" style="3" bestFit="1" customWidth="1"/>
    <col min="8" max="8" width="7.8515625" style="3" bestFit="1" customWidth="1"/>
    <col min="9" max="10" width="6.7109375" style="3" bestFit="1" customWidth="1"/>
    <col min="11" max="11" width="7.140625" style="3" bestFit="1" customWidth="1"/>
    <col min="12" max="12" width="7.8515625" style="3" bestFit="1" customWidth="1"/>
    <col min="13" max="13" width="6.7109375" style="3" bestFit="1" customWidth="1"/>
    <col min="14" max="14" width="6.421875" style="3" customWidth="1"/>
    <col min="15" max="16" width="6.57421875" style="3" hidden="1" customWidth="1"/>
    <col min="17" max="46" width="11.421875" style="3" customWidth="1"/>
    <col min="47" max="16384" width="11.421875" style="1" customWidth="1"/>
  </cols>
  <sheetData>
    <row r="1" spans="2:16" ht="11.25">
      <c r="B1" s="38"/>
      <c r="C1" s="38"/>
      <c r="D1" s="38"/>
      <c r="E1" s="38"/>
      <c r="F1" s="38"/>
      <c r="H1" s="38" t="s">
        <v>0</v>
      </c>
      <c r="I1" s="38"/>
      <c r="J1" s="38"/>
      <c r="K1" s="38"/>
      <c r="L1" s="38"/>
      <c r="M1" s="38"/>
      <c r="N1" s="38"/>
      <c r="O1" s="38"/>
      <c r="P1" s="38"/>
    </row>
    <row r="2" spans="2:16" ht="11.25">
      <c r="B2" s="38"/>
      <c r="C2" s="38"/>
      <c r="D2" s="38"/>
      <c r="E2" s="38"/>
      <c r="F2" s="38"/>
      <c r="H2" s="38" t="s">
        <v>1</v>
      </c>
      <c r="I2" s="38"/>
      <c r="J2" s="38"/>
      <c r="K2" s="38"/>
      <c r="L2" s="38"/>
      <c r="M2" s="38"/>
      <c r="N2" s="38"/>
      <c r="O2" s="38"/>
      <c r="P2" s="38"/>
    </row>
    <row r="3" spans="2:16" ht="11.25">
      <c r="B3" s="38"/>
      <c r="C3" s="38"/>
      <c r="D3" s="38"/>
      <c r="E3" s="38"/>
      <c r="F3" s="38"/>
      <c r="H3" s="38" t="s">
        <v>2</v>
      </c>
      <c r="I3" s="38"/>
      <c r="J3" s="38"/>
      <c r="K3" s="38"/>
      <c r="L3" s="38"/>
      <c r="M3" s="38"/>
      <c r="N3" s="38"/>
      <c r="O3" s="38"/>
      <c r="P3" s="38"/>
    </row>
    <row r="4" spans="1:16" ht="11.25">
      <c r="A4" s="1"/>
      <c r="B4" s="37"/>
      <c r="C4" s="37"/>
      <c r="D4" s="37"/>
      <c r="E4" s="37"/>
      <c r="F4" s="37"/>
      <c r="G4" s="1"/>
      <c r="H4" s="37" t="s">
        <v>3</v>
      </c>
      <c r="I4" s="37"/>
      <c r="J4" s="37"/>
      <c r="K4" s="37"/>
      <c r="L4" s="37"/>
      <c r="M4" s="37"/>
      <c r="N4" s="37"/>
      <c r="O4" s="37"/>
      <c r="P4" s="37"/>
    </row>
    <row r="5" spans="1:16" ht="11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1.2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4"/>
      <c r="P6" s="4"/>
    </row>
    <row r="7" spans="1:46" s="2" customFormat="1" ht="11.25">
      <c r="A7" s="6"/>
      <c r="B7" s="6"/>
      <c r="C7" s="39">
        <v>2002</v>
      </c>
      <c r="D7" s="39"/>
      <c r="E7" s="39"/>
      <c r="F7" s="41"/>
      <c r="G7" s="42">
        <v>2001</v>
      </c>
      <c r="H7" s="39"/>
      <c r="I7" s="39"/>
      <c r="J7" s="41"/>
      <c r="K7" s="39">
        <v>2000</v>
      </c>
      <c r="L7" s="39"/>
      <c r="M7" s="39"/>
      <c r="N7" s="40"/>
      <c r="O7" s="39" t="s">
        <v>4</v>
      </c>
      <c r="P7" s="4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16" ht="11.25">
      <c r="A8" s="8"/>
      <c r="B8" s="8"/>
      <c r="C8" s="8" t="s">
        <v>5</v>
      </c>
      <c r="D8" s="8" t="s">
        <v>6</v>
      </c>
      <c r="E8" s="8" t="s">
        <v>7</v>
      </c>
      <c r="F8" s="9" t="s">
        <v>8</v>
      </c>
      <c r="G8" s="8" t="s">
        <v>5</v>
      </c>
      <c r="H8" s="8" t="s">
        <v>6</v>
      </c>
      <c r="I8" s="8" t="s">
        <v>7</v>
      </c>
      <c r="J8" s="8" t="s">
        <v>8</v>
      </c>
      <c r="K8" s="10" t="s">
        <v>5</v>
      </c>
      <c r="L8" s="8" t="s">
        <v>6</v>
      </c>
      <c r="M8" s="8" t="s">
        <v>7</v>
      </c>
      <c r="N8" s="11" t="s">
        <v>8</v>
      </c>
      <c r="O8" s="12" t="s">
        <v>9</v>
      </c>
      <c r="P8" s="13" t="s">
        <v>10</v>
      </c>
    </row>
    <row r="9" spans="1:16" ht="11.25">
      <c r="A9" s="14" t="s">
        <v>11</v>
      </c>
      <c r="B9" s="14"/>
      <c r="C9" s="14"/>
      <c r="D9" s="14"/>
      <c r="E9" s="15"/>
      <c r="F9" s="16"/>
      <c r="G9" s="14"/>
      <c r="H9" s="14"/>
      <c r="I9" s="14"/>
      <c r="J9" s="14"/>
      <c r="K9" s="17"/>
      <c r="L9" s="15"/>
      <c r="M9" s="15"/>
      <c r="N9" s="15"/>
      <c r="O9" s="15"/>
      <c r="P9" s="16"/>
    </row>
    <row r="10" spans="1:16" ht="11.25">
      <c r="A10" s="3" t="s">
        <v>12</v>
      </c>
      <c r="C10" s="3">
        <v>7392</v>
      </c>
      <c r="D10" s="3">
        <v>7360</v>
      </c>
      <c r="E10" s="5">
        <v>7027</v>
      </c>
      <c r="F10" s="18">
        <v>6405</v>
      </c>
      <c r="G10" s="3">
        <v>6042</v>
      </c>
      <c r="H10" s="3">
        <v>5790</v>
      </c>
      <c r="I10" s="3">
        <v>5682</v>
      </c>
      <c r="J10" s="3">
        <v>5531</v>
      </c>
      <c r="K10" s="19">
        <v>5621</v>
      </c>
      <c r="L10" s="5">
        <v>4285</v>
      </c>
      <c r="M10" s="5">
        <v>4405</v>
      </c>
      <c r="N10" s="5">
        <v>4613</v>
      </c>
      <c r="O10" s="5">
        <v>4889</v>
      </c>
      <c r="P10" s="18">
        <v>2957</v>
      </c>
    </row>
    <row r="11" spans="1:16" ht="11.25">
      <c r="A11" s="3" t="s">
        <v>13</v>
      </c>
      <c r="C11" s="3">
        <v>2604</v>
      </c>
      <c r="D11" s="3">
        <v>3064</v>
      </c>
      <c r="E11" s="5">
        <v>3353</v>
      </c>
      <c r="F11" s="18">
        <v>3199</v>
      </c>
      <c r="G11" s="3">
        <v>2815</v>
      </c>
      <c r="H11" s="3">
        <v>2902</v>
      </c>
      <c r="I11" s="3">
        <v>3237</v>
      </c>
      <c r="J11" s="3">
        <v>3492</v>
      </c>
      <c r="K11" s="19">
        <v>3707</v>
      </c>
      <c r="L11" s="5">
        <v>2518</v>
      </c>
      <c r="M11" s="5">
        <v>2508</v>
      </c>
      <c r="N11" s="5">
        <v>3025</v>
      </c>
      <c r="O11" s="5">
        <v>3205</v>
      </c>
      <c r="P11" s="18">
        <v>2115</v>
      </c>
    </row>
    <row r="12" spans="1:16" ht="11.25">
      <c r="A12" s="3" t="s">
        <v>14</v>
      </c>
      <c r="C12" s="5">
        <f aca="true" t="shared" si="0" ref="C12:P12">C13+C14</f>
        <v>4027</v>
      </c>
      <c r="D12" s="5">
        <f t="shared" si="0"/>
        <v>3487</v>
      </c>
      <c r="E12" s="5">
        <f t="shared" si="0"/>
        <v>2818</v>
      </c>
      <c r="F12" s="18">
        <f t="shared" si="0"/>
        <v>2319</v>
      </c>
      <c r="G12" s="3">
        <f t="shared" si="0"/>
        <v>2041</v>
      </c>
      <c r="H12" s="3">
        <f t="shared" si="0"/>
        <v>1727</v>
      </c>
      <c r="I12" s="3">
        <f t="shared" si="0"/>
        <v>1275</v>
      </c>
      <c r="J12" s="3">
        <f t="shared" si="0"/>
        <v>828</v>
      </c>
      <c r="K12" s="19">
        <f t="shared" si="0"/>
        <v>553</v>
      </c>
      <c r="L12" s="5">
        <f t="shared" si="0"/>
        <v>396</v>
      </c>
      <c r="M12" s="5">
        <f t="shared" si="0"/>
        <v>359</v>
      </c>
      <c r="N12" s="5">
        <f t="shared" si="0"/>
        <v>357</v>
      </c>
      <c r="O12" s="5">
        <f t="shared" si="0"/>
        <v>299</v>
      </c>
      <c r="P12" s="18">
        <f t="shared" si="0"/>
        <v>143</v>
      </c>
    </row>
    <row r="13" spans="2:16" ht="11.25">
      <c r="B13" s="3" t="s">
        <v>15</v>
      </c>
      <c r="C13" s="3">
        <v>4027</v>
      </c>
      <c r="D13" s="3">
        <v>3487</v>
      </c>
      <c r="E13" s="5">
        <v>2818</v>
      </c>
      <c r="F13" s="18">
        <v>2319</v>
      </c>
      <c r="G13" s="3">
        <v>2041</v>
      </c>
      <c r="H13" s="3">
        <v>1727</v>
      </c>
      <c r="I13" s="3">
        <v>1275</v>
      </c>
      <c r="J13" s="3">
        <v>828</v>
      </c>
      <c r="K13" s="19">
        <v>553</v>
      </c>
      <c r="L13" s="5">
        <v>396</v>
      </c>
      <c r="M13" s="5">
        <v>359</v>
      </c>
      <c r="N13" s="5">
        <v>357</v>
      </c>
      <c r="O13" s="5">
        <v>299</v>
      </c>
      <c r="P13" s="18">
        <v>143</v>
      </c>
    </row>
    <row r="14" spans="2:16" ht="11.25">
      <c r="B14" s="3" t="s">
        <v>16</v>
      </c>
      <c r="C14" s="3">
        <v>0</v>
      </c>
      <c r="D14" s="3">
        <v>0</v>
      </c>
      <c r="E14" s="5">
        <v>0</v>
      </c>
      <c r="F14" s="18">
        <v>0</v>
      </c>
      <c r="G14" s="3">
        <v>0</v>
      </c>
      <c r="H14" s="3">
        <v>0</v>
      </c>
      <c r="I14" s="3">
        <v>0</v>
      </c>
      <c r="J14" s="3">
        <v>0</v>
      </c>
      <c r="K14" s="19"/>
      <c r="L14" s="5">
        <v>0</v>
      </c>
      <c r="M14" s="5">
        <v>0</v>
      </c>
      <c r="N14" s="5">
        <v>0</v>
      </c>
      <c r="O14" s="5">
        <v>0</v>
      </c>
      <c r="P14" s="18">
        <v>0</v>
      </c>
    </row>
    <row r="15" spans="1:16" ht="11.25">
      <c r="A15" s="3" t="s">
        <v>17</v>
      </c>
      <c r="C15" s="3">
        <v>11</v>
      </c>
      <c r="D15" s="3">
        <v>4</v>
      </c>
      <c r="E15" s="5">
        <v>0</v>
      </c>
      <c r="F15" s="18">
        <v>5</v>
      </c>
      <c r="G15" s="3">
        <v>0</v>
      </c>
      <c r="H15" s="3">
        <v>4</v>
      </c>
      <c r="I15" s="3">
        <v>5</v>
      </c>
      <c r="J15" s="3">
        <v>4</v>
      </c>
      <c r="K15" s="19">
        <v>204</v>
      </c>
      <c r="L15" s="5">
        <v>204</v>
      </c>
      <c r="M15" s="5">
        <v>353</v>
      </c>
      <c r="N15" s="5">
        <v>2</v>
      </c>
      <c r="O15" s="5">
        <v>2</v>
      </c>
      <c r="P15" s="18">
        <v>1</v>
      </c>
    </row>
    <row r="16" spans="1:16" ht="11.25">
      <c r="A16" s="3" t="s">
        <v>18</v>
      </c>
      <c r="C16" s="5">
        <f aca="true" t="shared" si="1" ref="C16:P16">C17+C21</f>
        <v>3188</v>
      </c>
      <c r="D16" s="5">
        <f t="shared" si="1"/>
        <v>2551</v>
      </c>
      <c r="E16" s="5">
        <f t="shared" si="1"/>
        <v>2367</v>
      </c>
      <c r="F16" s="18">
        <f t="shared" si="1"/>
        <v>1614</v>
      </c>
      <c r="G16" s="3">
        <f t="shared" si="1"/>
        <v>874</v>
      </c>
      <c r="H16" s="3">
        <f t="shared" si="1"/>
        <v>581</v>
      </c>
      <c r="I16" s="3">
        <f t="shared" si="1"/>
        <v>455</v>
      </c>
      <c r="J16" s="3">
        <f t="shared" si="1"/>
        <v>226</v>
      </c>
      <c r="K16" s="19">
        <f t="shared" si="1"/>
        <v>128</v>
      </c>
      <c r="L16" s="5">
        <f t="shared" si="1"/>
        <v>104</v>
      </c>
      <c r="M16" s="5">
        <f t="shared" si="1"/>
        <v>70</v>
      </c>
      <c r="N16" s="5">
        <f t="shared" si="1"/>
        <v>67</v>
      </c>
      <c r="O16" s="5">
        <f t="shared" si="1"/>
        <v>40</v>
      </c>
      <c r="P16" s="18">
        <f t="shared" si="1"/>
        <v>6</v>
      </c>
    </row>
    <row r="17" spans="2:16" ht="11.25">
      <c r="B17" s="3" t="s">
        <v>15</v>
      </c>
      <c r="C17" s="5">
        <f aca="true" t="shared" si="2" ref="C17:P17">SUM(C18:C20)</f>
        <v>3188</v>
      </c>
      <c r="D17" s="5">
        <f t="shared" si="2"/>
        <v>2551</v>
      </c>
      <c r="E17" s="5">
        <f t="shared" si="2"/>
        <v>2367</v>
      </c>
      <c r="F17" s="18">
        <f t="shared" si="2"/>
        <v>1614</v>
      </c>
      <c r="G17" s="3">
        <f t="shared" si="2"/>
        <v>874</v>
      </c>
      <c r="H17" s="3">
        <f t="shared" si="2"/>
        <v>581</v>
      </c>
      <c r="I17" s="3">
        <f t="shared" si="2"/>
        <v>455</v>
      </c>
      <c r="J17" s="3">
        <f t="shared" si="2"/>
        <v>226</v>
      </c>
      <c r="K17" s="19">
        <f t="shared" si="2"/>
        <v>128</v>
      </c>
      <c r="L17" s="5">
        <f t="shared" si="2"/>
        <v>104</v>
      </c>
      <c r="M17" s="5">
        <f t="shared" si="2"/>
        <v>70</v>
      </c>
      <c r="N17" s="5">
        <f t="shared" si="2"/>
        <v>67</v>
      </c>
      <c r="O17" s="5">
        <f t="shared" si="2"/>
        <v>40</v>
      </c>
      <c r="P17" s="18">
        <f t="shared" si="2"/>
        <v>6</v>
      </c>
    </row>
    <row r="18" spans="2:16" ht="11.25">
      <c r="B18" s="3" t="s">
        <v>19</v>
      </c>
      <c r="C18" s="3">
        <v>0</v>
      </c>
      <c r="D18" s="3">
        <v>0</v>
      </c>
      <c r="E18" s="5">
        <v>0</v>
      </c>
      <c r="F18" s="18">
        <v>0</v>
      </c>
      <c r="G18" s="3">
        <v>0</v>
      </c>
      <c r="H18" s="3">
        <v>0</v>
      </c>
      <c r="I18" s="3">
        <v>0</v>
      </c>
      <c r="J18" s="3">
        <v>0</v>
      </c>
      <c r="K18" s="19">
        <v>0</v>
      </c>
      <c r="L18" s="5">
        <v>0</v>
      </c>
      <c r="M18" s="5">
        <v>0</v>
      </c>
      <c r="N18" s="5">
        <v>0</v>
      </c>
      <c r="O18" s="5">
        <v>0</v>
      </c>
      <c r="P18" s="18">
        <v>0</v>
      </c>
    </row>
    <row r="19" spans="2:16" ht="11.25">
      <c r="B19" s="3" t="s">
        <v>20</v>
      </c>
      <c r="C19" s="3">
        <v>3188</v>
      </c>
      <c r="D19" s="3">
        <v>2551</v>
      </c>
      <c r="E19" s="5">
        <v>2367</v>
      </c>
      <c r="F19" s="18">
        <v>1614</v>
      </c>
      <c r="G19" s="3">
        <v>874</v>
      </c>
      <c r="H19" s="3">
        <v>581</v>
      </c>
      <c r="I19" s="3">
        <v>455</v>
      </c>
      <c r="J19" s="3">
        <v>226</v>
      </c>
      <c r="K19" s="19">
        <v>128</v>
      </c>
      <c r="L19" s="5">
        <v>104</v>
      </c>
      <c r="M19" s="5">
        <v>70</v>
      </c>
      <c r="N19" s="5">
        <v>67</v>
      </c>
      <c r="O19" s="5">
        <v>40</v>
      </c>
      <c r="P19" s="18">
        <v>6</v>
      </c>
    </row>
    <row r="20" spans="2:16" ht="11.25">
      <c r="B20" s="3" t="s">
        <v>21</v>
      </c>
      <c r="C20" s="3">
        <v>0</v>
      </c>
      <c r="D20" s="3">
        <v>0</v>
      </c>
      <c r="E20" s="5">
        <v>0</v>
      </c>
      <c r="F20" s="18">
        <v>0</v>
      </c>
      <c r="G20" s="3">
        <v>0</v>
      </c>
      <c r="H20" s="3">
        <v>0</v>
      </c>
      <c r="I20" s="3">
        <v>0</v>
      </c>
      <c r="J20" s="3">
        <v>0</v>
      </c>
      <c r="K20" s="19">
        <v>0</v>
      </c>
      <c r="L20" s="5">
        <v>0</v>
      </c>
      <c r="M20" s="5">
        <v>0</v>
      </c>
      <c r="N20" s="5">
        <v>0</v>
      </c>
      <c r="O20" s="5">
        <v>0</v>
      </c>
      <c r="P20" s="18">
        <v>0</v>
      </c>
    </row>
    <row r="21" spans="2:16" ht="11.25">
      <c r="B21" s="3" t="s">
        <v>16</v>
      </c>
      <c r="C21" s="3">
        <f>SUM(C22:C24)</f>
        <v>0</v>
      </c>
      <c r="D21" s="5">
        <f aca="true" t="shared" si="3" ref="D21:P21">SUM(D23:D24)</f>
        <v>0</v>
      </c>
      <c r="E21" s="5">
        <f t="shared" si="3"/>
        <v>0</v>
      </c>
      <c r="F21" s="18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  <c r="J21" s="3">
        <f t="shared" si="3"/>
        <v>0</v>
      </c>
      <c r="K21" s="19">
        <f t="shared" si="3"/>
        <v>0</v>
      </c>
      <c r="L21" s="5">
        <f t="shared" si="3"/>
        <v>0</v>
      </c>
      <c r="M21" s="5">
        <f t="shared" si="3"/>
        <v>0</v>
      </c>
      <c r="N21" s="5">
        <f t="shared" si="3"/>
        <v>0</v>
      </c>
      <c r="O21" s="5">
        <f t="shared" si="3"/>
        <v>0</v>
      </c>
      <c r="P21" s="18">
        <f t="shared" si="3"/>
        <v>0</v>
      </c>
    </row>
    <row r="22" spans="2:16" ht="11.25">
      <c r="B22" s="3" t="s">
        <v>19</v>
      </c>
      <c r="C22" s="3">
        <v>0</v>
      </c>
      <c r="D22" s="5"/>
      <c r="E22" s="5"/>
      <c r="F22" s="18"/>
      <c r="K22" s="19"/>
      <c r="L22" s="5"/>
      <c r="M22" s="5"/>
      <c r="N22" s="5"/>
      <c r="O22" s="5"/>
      <c r="P22" s="18"/>
    </row>
    <row r="23" spans="2:16" ht="11.25">
      <c r="B23" s="3" t="s">
        <v>20</v>
      </c>
      <c r="C23" s="3">
        <v>0</v>
      </c>
      <c r="D23" s="3">
        <v>0</v>
      </c>
      <c r="E23" s="5">
        <v>0</v>
      </c>
      <c r="F23" s="18">
        <v>0</v>
      </c>
      <c r="G23" s="3">
        <v>0</v>
      </c>
      <c r="H23" s="3">
        <v>0</v>
      </c>
      <c r="I23" s="3">
        <v>0</v>
      </c>
      <c r="J23" s="3">
        <v>0</v>
      </c>
      <c r="K23" s="19">
        <v>0</v>
      </c>
      <c r="L23" s="5">
        <v>0</v>
      </c>
      <c r="M23" s="5">
        <v>0</v>
      </c>
      <c r="N23" s="5">
        <v>0</v>
      </c>
      <c r="O23" s="5">
        <v>0</v>
      </c>
      <c r="P23" s="18">
        <v>0</v>
      </c>
    </row>
    <row r="24" spans="2:16" ht="11.25">
      <c r="B24" s="3" t="s">
        <v>21</v>
      </c>
      <c r="C24" s="3">
        <v>0</v>
      </c>
      <c r="D24" s="3">
        <v>0</v>
      </c>
      <c r="E24" s="5">
        <v>0</v>
      </c>
      <c r="F24" s="18">
        <v>0</v>
      </c>
      <c r="G24" s="3">
        <v>0</v>
      </c>
      <c r="H24" s="3">
        <v>0</v>
      </c>
      <c r="I24" s="3">
        <v>0</v>
      </c>
      <c r="J24" s="3">
        <v>0</v>
      </c>
      <c r="K24" s="19">
        <v>0</v>
      </c>
      <c r="L24" s="5">
        <v>0</v>
      </c>
      <c r="M24" s="5">
        <v>0</v>
      </c>
      <c r="N24" s="5">
        <v>0</v>
      </c>
      <c r="O24" s="5">
        <v>0</v>
      </c>
      <c r="P24" s="18">
        <v>0</v>
      </c>
    </row>
    <row r="25" spans="1:16" ht="11.25">
      <c r="A25" s="4" t="s">
        <v>22</v>
      </c>
      <c r="B25" s="4"/>
      <c r="C25" s="4">
        <v>3673</v>
      </c>
      <c r="D25" s="4">
        <v>4372</v>
      </c>
      <c r="E25" s="4">
        <v>4453</v>
      </c>
      <c r="F25" s="20">
        <v>4518</v>
      </c>
      <c r="G25" s="4">
        <v>4906</v>
      </c>
      <c r="H25" s="4">
        <v>4880</v>
      </c>
      <c r="I25" s="4">
        <v>4969</v>
      </c>
      <c r="J25" s="4">
        <v>5122</v>
      </c>
      <c r="K25" s="21">
        <v>4960</v>
      </c>
      <c r="L25" s="4">
        <v>3851</v>
      </c>
      <c r="M25" s="4">
        <v>4012</v>
      </c>
      <c r="N25" s="4">
        <v>4218</v>
      </c>
      <c r="O25" s="4">
        <v>4569</v>
      </c>
      <c r="P25" s="20">
        <v>2802</v>
      </c>
    </row>
    <row r="26" spans="1:16" ht="11.25">
      <c r="A26" s="14" t="s">
        <v>23</v>
      </c>
      <c r="E26" s="5"/>
      <c r="F26" s="18"/>
      <c r="K26" s="19"/>
      <c r="L26" s="5"/>
      <c r="M26" s="5"/>
      <c r="N26" s="5"/>
      <c r="O26" s="5"/>
      <c r="P26" s="18"/>
    </row>
    <row r="27" spans="1:16" ht="11.25">
      <c r="A27" s="3" t="s">
        <v>12</v>
      </c>
      <c r="C27" s="5">
        <f aca="true" t="shared" si="4" ref="C27:I27">(C10+G10)/2</f>
        <v>6717</v>
      </c>
      <c r="D27" s="5">
        <f t="shared" si="4"/>
        <v>6575</v>
      </c>
      <c r="E27" s="5">
        <f t="shared" si="4"/>
        <v>6354.5</v>
      </c>
      <c r="F27" s="18">
        <f t="shared" si="4"/>
        <v>5968</v>
      </c>
      <c r="G27" s="3">
        <f t="shared" si="4"/>
        <v>5831.5</v>
      </c>
      <c r="H27" s="3">
        <f t="shared" si="4"/>
        <v>5037.5</v>
      </c>
      <c r="I27" s="3">
        <f t="shared" si="4"/>
        <v>5043.5</v>
      </c>
      <c r="J27" s="3">
        <f>+(J10+N10)/2</f>
        <v>5072</v>
      </c>
      <c r="K27" s="19">
        <f>+(K10+O10)/2</f>
        <v>5255</v>
      </c>
      <c r="L27" s="5">
        <v>3739</v>
      </c>
      <c r="M27" s="5">
        <v>3729</v>
      </c>
      <c r="N27" s="5">
        <v>3772</v>
      </c>
      <c r="O27" s="5">
        <f>(O10+P10)/2</f>
        <v>3923</v>
      </c>
      <c r="P27" s="22" t="s">
        <v>24</v>
      </c>
    </row>
    <row r="28" spans="1:16" ht="11.25">
      <c r="A28" s="3" t="s">
        <v>25</v>
      </c>
      <c r="C28" s="5">
        <f aca="true" t="shared" si="5" ref="C28:O28">C29+C30</f>
        <v>3039.5</v>
      </c>
      <c r="D28" s="5">
        <f t="shared" si="5"/>
        <v>2611</v>
      </c>
      <c r="E28" s="5">
        <f t="shared" si="5"/>
        <v>2049</v>
      </c>
      <c r="F28" s="18">
        <f t="shared" si="5"/>
        <v>1578</v>
      </c>
      <c r="G28" s="3">
        <f t="shared" si="5"/>
        <v>1399</v>
      </c>
      <c r="H28" s="3">
        <f t="shared" si="5"/>
        <v>1165.5</v>
      </c>
      <c r="I28" s="3">
        <f t="shared" si="5"/>
        <v>996</v>
      </c>
      <c r="J28" s="3">
        <f t="shared" si="5"/>
        <v>595.5</v>
      </c>
      <c r="K28" s="19">
        <f t="shared" si="5"/>
        <v>529</v>
      </c>
      <c r="L28" s="5">
        <f t="shared" si="5"/>
        <v>419</v>
      </c>
      <c r="M28" s="5">
        <f t="shared" si="5"/>
        <v>444</v>
      </c>
      <c r="N28" s="5">
        <f t="shared" si="5"/>
        <v>248</v>
      </c>
      <c r="O28" s="5">
        <f t="shared" si="5"/>
        <v>222.5</v>
      </c>
      <c r="P28" s="22" t="s">
        <v>24</v>
      </c>
    </row>
    <row r="29" spans="2:16" ht="11.25">
      <c r="B29" s="3" t="s">
        <v>14</v>
      </c>
      <c r="C29" s="5">
        <f aca="true" t="shared" si="6" ref="C29:I29">(C12+G12)/2</f>
        <v>3034</v>
      </c>
      <c r="D29" s="5">
        <f t="shared" si="6"/>
        <v>2607</v>
      </c>
      <c r="E29" s="5">
        <f t="shared" si="6"/>
        <v>2046.5</v>
      </c>
      <c r="F29" s="18">
        <f t="shared" si="6"/>
        <v>1573.5</v>
      </c>
      <c r="G29" s="3">
        <f t="shared" si="6"/>
        <v>1297</v>
      </c>
      <c r="H29" s="3">
        <f t="shared" si="6"/>
        <v>1061.5</v>
      </c>
      <c r="I29" s="3">
        <f t="shared" si="6"/>
        <v>817</v>
      </c>
      <c r="J29" s="3">
        <f>+(J12+N12)/2</f>
        <v>592.5</v>
      </c>
      <c r="K29" s="19">
        <f>+(K12+O12)/2</f>
        <v>426</v>
      </c>
      <c r="L29" s="5">
        <v>317</v>
      </c>
      <c r="M29" s="5">
        <v>267</v>
      </c>
      <c r="N29" s="5">
        <v>246</v>
      </c>
      <c r="O29" s="5">
        <f>(O12+P12)/2</f>
        <v>221</v>
      </c>
      <c r="P29" s="22" t="s">
        <v>24</v>
      </c>
    </row>
    <row r="30" spans="2:16" ht="11.25">
      <c r="B30" s="3" t="s">
        <v>17</v>
      </c>
      <c r="C30" s="5">
        <f aca="true" t="shared" si="7" ref="C30:I30">(C15+G15)/2</f>
        <v>5.5</v>
      </c>
      <c r="D30" s="5">
        <f t="shared" si="7"/>
        <v>4</v>
      </c>
      <c r="E30" s="5">
        <f t="shared" si="7"/>
        <v>2.5</v>
      </c>
      <c r="F30" s="18">
        <f t="shared" si="7"/>
        <v>4.5</v>
      </c>
      <c r="G30" s="3">
        <f t="shared" si="7"/>
        <v>102</v>
      </c>
      <c r="H30" s="3">
        <f t="shared" si="7"/>
        <v>104</v>
      </c>
      <c r="I30" s="3">
        <f t="shared" si="7"/>
        <v>179</v>
      </c>
      <c r="J30" s="3">
        <f>+(J15+N15)/2</f>
        <v>3</v>
      </c>
      <c r="K30" s="19">
        <f>+(K15+O15)/2</f>
        <v>103</v>
      </c>
      <c r="L30" s="5">
        <v>102</v>
      </c>
      <c r="M30" s="5">
        <v>177</v>
      </c>
      <c r="N30" s="5">
        <v>2</v>
      </c>
      <c r="O30" s="5">
        <f>(O15+P15)/2</f>
        <v>1.5</v>
      </c>
      <c r="P30" s="22" t="s">
        <v>24</v>
      </c>
    </row>
    <row r="31" spans="1:16" ht="11.25">
      <c r="A31" s="4" t="s">
        <v>22</v>
      </c>
      <c r="B31" s="4"/>
      <c r="C31" s="4">
        <f aca="true" t="shared" si="8" ref="C31:I31">(C25+G25)/2</f>
        <v>4289.5</v>
      </c>
      <c r="D31" s="4">
        <f t="shared" si="8"/>
        <v>4626</v>
      </c>
      <c r="E31" s="4">
        <f t="shared" si="8"/>
        <v>4711</v>
      </c>
      <c r="F31" s="20">
        <f t="shared" si="8"/>
        <v>4820</v>
      </c>
      <c r="G31" s="4">
        <f t="shared" si="8"/>
        <v>4933</v>
      </c>
      <c r="H31" s="4">
        <f t="shared" si="8"/>
        <v>4365.5</v>
      </c>
      <c r="I31" s="4">
        <f t="shared" si="8"/>
        <v>4490.5</v>
      </c>
      <c r="J31" s="4">
        <f>+(J25+N25)/2</f>
        <v>4670</v>
      </c>
      <c r="K31" s="21">
        <f>+(K25+O25)/2</f>
        <v>4764.5</v>
      </c>
      <c r="L31" s="4">
        <v>3239</v>
      </c>
      <c r="M31" s="4">
        <v>3345</v>
      </c>
      <c r="N31" s="4">
        <v>3479</v>
      </c>
      <c r="O31" s="4">
        <f>(O25+P25)/2</f>
        <v>3685.5</v>
      </c>
      <c r="P31" s="13" t="s">
        <v>24</v>
      </c>
    </row>
    <row r="32" spans="1:16" ht="11.25">
      <c r="A32" s="14" t="s">
        <v>26</v>
      </c>
      <c r="E32" s="5"/>
      <c r="F32" s="18"/>
      <c r="K32" s="19"/>
      <c r="L32" s="5"/>
      <c r="M32" s="5"/>
      <c r="N32" s="5"/>
      <c r="O32" s="5"/>
      <c r="P32" s="18"/>
    </row>
    <row r="33" spans="1:16" ht="11.25">
      <c r="A33" s="3" t="s">
        <v>27</v>
      </c>
      <c r="C33" s="3">
        <v>613</v>
      </c>
      <c r="D33" s="3">
        <v>153</v>
      </c>
      <c r="E33" s="5">
        <v>152</v>
      </c>
      <c r="F33" s="18">
        <v>132</v>
      </c>
      <c r="G33" s="3">
        <v>428</v>
      </c>
      <c r="H33" s="3">
        <v>303</v>
      </c>
      <c r="I33" s="3">
        <v>196</v>
      </c>
      <c r="J33" s="3">
        <v>99</v>
      </c>
      <c r="K33" s="19">
        <v>302</v>
      </c>
      <c r="L33" s="5">
        <v>227</v>
      </c>
      <c r="M33" s="5">
        <v>160</v>
      </c>
      <c r="N33" s="5">
        <v>78</v>
      </c>
      <c r="O33" s="5">
        <v>197</v>
      </c>
      <c r="P33" s="18">
        <v>189</v>
      </c>
    </row>
    <row r="34" spans="1:16" ht="11.25">
      <c r="A34" s="3" t="s">
        <v>28</v>
      </c>
      <c r="C34" s="3">
        <v>153</v>
      </c>
      <c r="D34" s="3">
        <v>41</v>
      </c>
      <c r="E34" s="5">
        <v>34</v>
      </c>
      <c r="F34" s="18">
        <v>21</v>
      </c>
      <c r="G34" s="3">
        <v>24</v>
      </c>
      <c r="H34" s="3">
        <v>12</v>
      </c>
      <c r="I34" s="3">
        <v>4</v>
      </c>
      <c r="J34" s="3">
        <v>2</v>
      </c>
      <c r="K34" s="19">
        <v>1</v>
      </c>
      <c r="L34" s="5">
        <v>1</v>
      </c>
      <c r="M34" s="5">
        <v>1</v>
      </c>
      <c r="N34" s="5">
        <v>0</v>
      </c>
      <c r="O34" s="5">
        <v>6</v>
      </c>
      <c r="P34" s="18">
        <v>3</v>
      </c>
    </row>
    <row r="35" spans="1:16" ht="11.25">
      <c r="A35" s="3" t="s">
        <v>29</v>
      </c>
      <c r="C35" s="5">
        <f>+C33-C34</f>
        <v>460</v>
      </c>
      <c r="D35" s="5">
        <f>+D33-D34</f>
        <v>112</v>
      </c>
      <c r="E35" s="5">
        <f>+E33-E34</f>
        <v>118</v>
      </c>
      <c r="F35" s="18">
        <f>+F33-F34</f>
        <v>111</v>
      </c>
      <c r="G35" s="3">
        <f aca="true" t="shared" si="9" ref="G35:P35">G33-G34</f>
        <v>404</v>
      </c>
      <c r="H35" s="3">
        <f t="shared" si="9"/>
        <v>291</v>
      </c>
      <c r="I35" s="3">
        <f t="shared" si="9"/>
        <v>192</v>
      </c>
      <c r="J35" s="3">
        <f t="shared" si="9"/>
        <v>97</v>
      </c>
      <c r="K35" s="19">
        <f t="shared" si="9"/>
        <v>301</v>
      </c>
      <c r="L35" s="5">
        <f t="shared" si="9"/>
        <v>226</v>
      </c>
      <c r="M35" s="5">
        <f t="shared" si="9"/>
        <v>159</v>
      </c>
      <c r="N35" s="5">
        <f t="shared" si="9"/>
        <v>78</v>
      </c>
      <c r="O35" s="5">
        <f t="shared" si="9"/>
        <v>191</v>
      </c>
      <c r="P35" s="18">
        <f t="shared" si="9"/>
        <v>186</v>
      </c>
    </row>
    <row r="36" spans="1:16" ht="11.25">
      <c r="A36" s="3" t="s">
        <v>30</v>
      </c>
      <c r="C36" s="3">
        <v>432</v>
      </c>
      <c r="D36" s="3">
        <v>99</v>
      </c>
      <c r="E36" s="5">
        <v>91</v>
      </c>
      <c r="F36" s="18">
        <v>103</v>
      </c>
      <c r="G36" s="3">
        <v>257</v>
      </c>
      <c r="H36" s="3">
        <v>153</v>
      </c>
      <c r="I36" s="3">
        <v>78</v>
      </c>
      <c r="J36" s="3">
        <v>28</v>
      </c>
      <c r="K36" s="19">
        <v>41</v>
      </c>
      <c r="L36" s="5">
        <v>24</v>
      </c>
      <c r="M36" s="5">
        <v>10</v>
      </c>
      <c r="N36" s="5">
        <v>4</v>
      </c>
      <c r="O36" s="5">
        <v>470</v>
      </c>
      <c r="P36" s="18">
        <v>163</v>
      </c>
    </row>
    <row r="37" spans="1:16" ht="11.25">
      <c r="A37" s="3" t="s">
        <v>31</v>
      </c>
      <c r="C37" s="5">
        <f>+C36+C35</f>
        <v>892</v>
      </c>
      <c r="D37" s="5">
        <f>+D36+D35</f>
        <v>211</v>
      </c>
      <c r="E37" s="5">
        <f>+E36+E35</f>
        <v>209</v>
      </c>
      <c r="F37" s="18">
        <f>+F36+F35</f>
        <v>214</v>
      </c>
      <c r="G37" s="3">
        <f aca="true" t="shared" si="10" ref="G37:P37">G35+G36</f>
        <v>661</v>
      </c>
      <c r="H37" s="3">
        <f t="shared" si="10"/>
        <v>444</v>
      </c>
      <c r="I37" s="3">
        <f t="shared" si="10"/>
        <v>270</v>
      </c>
      <c r="J37" s="3">
        <f t="shared" si="10"/>
        <v>125</v>
      </c>
      <c r="K37" s="19">
        <f t="shared" si="10"/>
        <v>342</v>
      </c>
      <c r="L37" s="5">
        <f t="shared" si="10"/>
        <v>250</v>
      </c>
      <c r="M37" s="5">
        <f t="shared" si="10"/>
        <v>169</v>
      </c>
      <c r="N37" s="5">
        <f t="shared" si="10"/>
        <v>82</v>
      </c>
      <c r="O37" s="5">
        <f t="shared" si="10"/>
        <v>661</v>
      </c>
      <c r="P37" s="18">
        <f t="shared" si="10"/>
        <v>349</v>
      </c>
    </row>
    <row r="38" spans="1:16" ht="11.25">
      <c r="A38" s="3" t="s">
        <v>32</v>
      </c>
      <c r="C38" s="3">
        <v>988</v>
      </c>
      <c r="D38" s="3">
        <v>231</v>
      </c>
      <c r="E38" s="5">
        <v>262</v>
      </c>
      <c r="F38" s="18">
        <v>222</v>
      </c>
      <c r="G38" s="3">
        <v>1014</v>
      </c>
      <c r="H38" s="3">
        <v>747</v>
      </c>
      <c r="I38" s="3">
        <v>512</v>
      </c>
      <c r="J38" s="3">
        <v>241</v>
      </c>
      <c r="K38" s="19">
        <v>1023</v>
      </c>
      <c r="L38" s="5">
        <v>745</v>
      </c>
      <c r="M38" s="5">
        <v>501</v>
      </c>
      <c r="N38" s="5">
        <v>248</v>
      </c>
      <c r="O38" s="5">
        <v>941</v>
      </c>
      <c r="P38" s="18">
        <v>536</v>
      </c>
    </row>
    <row r="39" spans="1:16" ht="11.25">
      <c r="A39" s="3" t="s">
        <v>33</v>
      </c>
      <c r="C39" s="5">
        <f>+C37-C38</f>
        <v>-96</v>
      </c>
      <c r="D39" s="5">
        <f>+D37-D38</f>
        <v>-20</v>
      </c>
      <c r="E39" s="5">
        <f>+E37-E38</f>
        <v>-53</v>
      </c>
      <c r="F39" s="18">
        <f>+F37-F38</f>
        <v>-8</v>
      </c>
      <c r="G39" s="3">
        <f aca="true" t="shared" si="11" ref="G39:P39">G37-G38</f>
        <v>-353</v>
      </c>
      <c r="H39" s="3">
        <f t="shared" si="11"/>
        <v>-303</v>
      </c>
      <c r="I39" s="3">
        <f t="shared" si="11"/>
        <v>-242</v>
      </c>
      <c r="J39" s="3">
        <f t="shared" si="11"/>
        <v>-116</v>
      </c>
      <c r="K39" s="19">
        <f t="shared" si="11"/>
        <v>-681</v>
      </c>
      <c r="L39" s="5">
        <f t="shared" si="11"/>
        <v>-495</v>
      </c>
      <c r="M39" s="5">
        <f t="shared" si="11"/>
        <v>-332</v>
      </c>
      <c r="N39" s="5">
        <f t="shared" si="11"/>
        <v>-166</v>
      </c>
      <c r="O39" s="5">
        <f t="shared" si="11"/>
        <v>-280</v>
      </c>
      <c r="P39" s="18">
        <f t="shared" si="11"/>
        <v>-187</v>
      </c>
    </row>
    <row r="40" spans="1:16" ht="11.25">
      <c r="A40" s="4" t="s">
        <v>34</v>
      </c>
      <c r="B40" s="4"/>
      <c r="C40" s="4">
        <v>-208</v>
      </c>
      <c r="D40" s="4">
        <v>-81</v>
      </c>
      <c r="E40" s="4">
        <v>-65</v>
      </c>
      <c r="F40" s="20">
        <f>+F39-4</f>
        <v>-12</v>
      </c>
      <c r="G40" s="4">
        <v>-409</v>
      </c>
      <c r="H40" s="4">
        <v>-361</v>
      </c>
      <c r="I40" s="4">
        <v>-271</v>
      </c>
      <c r="J40" s="4">
        <v>-119</v>
      </c>
      <c r="K40" s="21">
        <v>-729</v>
      </c>
      <c r="L40" s="4">
        <v>-538</v>
      </c>
      <c r="M40" s="4">
        <v>-380</v>
      </c>
      <c r="N40" s="4">
        <v>-175</v>
      </c>
      <c r="O40" s="4">
        <v>-298</v>
      </c>
      <c r="P40" s="20">
        <v>-197</v>
      </c>
    </row>
    <row r="41" spans="1:16" ht="11.25">
      <c r="A41" s="14" t="s">
        <v>35</v>
      </c>
      <c r="E41" s="5"/>
      <c r="F41" s="18"/>
      <c r="K41" s="19"/>
      <c r="L41" s="5"/>
      <c r="M41" s="5"/>
      <c r="N41" s="5"/>
      <c r="O41" s="5"/>
      <c r="P41" s="18"/>
    </row>
    <row r="42" spans="1:16" ht="11.25">
      <c r="A42" s="3" t="s">
        <v>36</v>
      </c>
      <c r="C42" s="3">
        <v>226</v>
      </c>
      <c r="D42" s="3">
        <v>260</v>
      </c>
      <c r="E42" s="5">
        <v>237</v>
      </c>
      <c r="F42" s="18">
        <v>137</v>
      </c>
      <c r="G42" s="3">
        <v>42</v>
      </c>
      <c r="H42" s="3">
        <v>41</v>
      </c>
      <c r="I42" s="3">
        <v>34</v>
      </c>
      <c r="J42" s="3">
        <v>0</v>
      </c>
      <c r="K42" s="19">
        <v>0</v>
      </c>
      <c r="L42" s="5">
        <v>0</v>
      </c>
      <c r="M42" s="5">
        <v>0</v>
      </c>
      <c r="N42" s="5">
        <v>0</v>
      </c>
      <c r="O42" s="5">
        <v>0</v>
      </c>
      <c r="P42" s="22">
        <v>0</v>
      </c>
    </row>
    <row r="43" spans="1:16" ht="11.25">
      <c r="A43" s="3" t="s">
        <v>37</v>
      </c>
      <c r="C43" s="3">
        <v>157</v>
      </c>
      <c r="D43" s="3">
        <v>96</v>
      </c>
      <c r="E43" s="5">
        <v>65</v>
      </c>
      <c r="F43" s="18">
        <v>53</v>
      </c>
      <c r="G43" s="3">
        <v>49</v>
      </c>
      <c r="H43" s="3">
        <v>64</v>
      </c>
      <c r="I43" s="3">
        <v>37</v>
      </c>
      <c r="J43" s="3">
        <v>28</v>
      </c>
      <c r="K43" s="19">
        <v>24</v>
      </c>
      <c r="L43" s="5">
        <v>17</v>
      </c>
      <c r="M43" s="5">
        <v>16</v>
      </c>
      <c r="N43" s="5">
        <v>15</v>
      </c>
      <c r="O43" s="5">
        <v>15</v>
      </c>
      <c r="P43" s="22">
        <v>7</v>
      </c>
    </row>
    <row r="44" spans="1:16" ht="11.25">
      <c r="A44" s="3" t="s">
        <v>38</v>
      </c>
      <c r="C44" s="5">
        <f aca="true" t="shared" si="12" ref="C44:P44">C42/C12</f>
        <v>0.056121182021355846</v>
      </c>
      <c r="D44" s="5">
        <f t="shared" si="12"/>
        <v>0.07456266131344996</v>
      </c>
      <c r="E44" s="5">
        <f t="shared" si="12"/>
        <v>0.08410220014194464</v>
      </c>
      <c r="F44" s="18">
        <f t="shared" si="12"/>
        <v>0.05907718844329452</v>
      </c>
      <c r="G44" s="3">
        <f t="shared" si="12"/>
        <v>0.020578147966683</v>
      </c>
      <c r="H44" s="3">
        <f t="shared" si="12"/>
        <v>0.02374059061957151</v>
      </c>
      <c r="I44" s="3">
        <f t="shared" si="12"/>
        <v>0.02666666666666667</v>
      </c>
      <c r="J44" s="3">
        <f t="shared" si="12"/>
        <v>0</v>
      </c>
      <c r="K44" s="19">
        <f t="shared" si="12"/>
        <v>0</v>
      </c>
      <c r="L44" s="5">
        <f t="shared" si="12"/>
        <v>0</v>
      </c>
      <c r="M44" s="5">
        <f t="shared" si="12"/>
        <v>0</v>
      </c>
      <c r="N44" s="5">
        <f t="shared" si="12"/>
        <v>0</v>
      </c>
      <c r="O44" s="5">
        <f t="shared" si="12"/>
        <v>0</v>
      </c>
      <c r="P44" s="18">
        <f t="shared" si="12"/>
        <v>0</v>
      </c>
    </row>
    <row r="45" spans="1:16" ht="11.25">
      <c r="A45" s="3" t="s">
        <v>39</v>
      </c>
      <c r="C45" s="5">
        <f aca="true" t="shared" si="13" ref="C45:I45">C43/C42</f>
        <v>0.6946902654867256</v>
      </c>
      <c r="D45" s="5">
        <f t="shared" si="13"/>
        <v>0.36923076923076925</v>
      </c>
      <c r="E45" s="5">
        <f t="shared" si="13"/>
        <v>0.2742616033755274</v>
      </c>
      <c r="F45" s="18">
        <f t="shared" si="13"/>
        <v>0.38686131386861317</v>
      </c>
      <c r="G45" s="3">
        <f t="shared" si="13"/>
        <v>1.1666666666666667</v>
      </c>
      <c r="H45" s="3">
        <f t="shared" si="13"/>
        <v>1.5609756097560976</v>
      </c>
      <c r="I45" s="3">
        <f t="shared" si="13"/>
        <v>1.088235294117647</v>
      </c>
      <c r="J45" s="23" t="s">
        <v>24</v>
      </c>
      <c r="K45" s="24" t="s">
        <v>24</v>
      </c>
      <c r="L45" s="25" t="s">
        <v>24</v>
      </c>
      <c r="M45" s="25" t="s">
        <v>24</v>
      </c>
      <c r="N45" s="25" t="s">
        <v>24</v>
      </c>
      <c r="O45" s="25" t="s">
        <v>24</v>
      </c>
      <c r="P45" s="22" t="s">
        <v>24</v>
      </c>
    </row>
    <row r="46" spans="1:16" ht="11.25">
      <c r="A46" s="4" t="s">
        <v>40</v>
      </c>
      <c r="B46" s="4"/>
      <c r="C46" s="4">
        <f aca="true" t="shared" si="14" ref="C46:P46">C43/C12</f>
        <v>0.03898683883784455</v>
      </c>
      <c r="D46" s="4">
        <f t="shared" si="14"/>
        <v>0.027530828792658446</v>
      </c>
      <c r="E46" s="4">
        <f t="shared" si="14"/>
        <v>0.023066004258339247</v>
      </c>
      <c r="F46" s="20">
        <f t="shared" si="14"/>
        <v>0.02285467874083657</v>
      </c>
      <c r="G46" s="4">
        <f t="shared" si="14"/>
        <v>0.0240078392944635</v>
      </c>
      <c r="H46" s="4">
        <f t="shared" si="14"/>
        <v>0.03705848291835553</v>
      </c>
      <c r="I46" s="4">
        <f t="shared" si="14"/>
        <v>0.029019607843137254</v>
      </c>
      <c r="J46" s="4">
        <f t="shared" si="14"/>
        <v>0.033816425120772944</v>
      </c>
      <c r="K46" s="21">
        <f t="shared" si="14"/>
        <v>0.0433996383363472</v>
      </c>
      <c r="L46" s="4">
        <f t="shared" si="14"/>
        <v>0.04292929292929293</v>
      </c>
      <c r="M46" s="4">
        <f t="shared" si="14"/>
        <v>0.04456824512534819</v>
      </c>
      <c r="N46" s="4">
        <f t="shared" si="14"/>
        <v>0.04201680672268908</v>
      </c>
      <c r="O46" s="4">
        <f t="shared" si="14"/>
        <v>0.05016722408026756</v>
      </c>
      <c r="P46" s="20">
        <f t="shared" si="14"/>
        <v>0.04895104895104895</v>
      </c>
    </row>
    <row r="47" spans="1:16" ht="11.25">
      <c r="A47" s="14" t="s">
        <v>41</v>
      </c>
      <c r="C47" s="26"/>
      <c r="D47" s="26"/>
      <c r="E47" s="27"/>
      <c r="F47" s="28"/>
      <c r="G47" s="26"/>
      <c r="H47" s="26"/>
      <c r="I47" s="26"/>
      <c r="J47" s="26"/>
      <c r="K47" s="29"/>
      <c r="L47" s="27"/>
      <c r="M47" s="27"/>
      <c r="N47" s="27"/>
      <c r="O47" s="5"/>
      <c r="P47" s="18"/>
    </row>
    <row r="48" spans="1:16" ht="11.25">
      <c r="A48" s="3" t="s">
        <v>42</v>
      </c>
      <c r="C48" s="27">
        <f aca="true" t="shared" si="15" ref="C48:P48">C25/(C12+C15)</f>
        <v>0.9096087171867261</v>
      </c>
      <c r="D48" s="27">
        <f t="shared" si="15"/>
        <v>1.25236321970782</v>
      </c>
      <c r="E48" s="27">
        <f t="shared" si="15"/>
        <v>1.5801987224982257</v>
      </c>
      <c r="F48" s="28">
        <f t="shared" si="15"/>
        <v>1.9440619621342512</v>
      </c>
      <c r="G48" s="26">
        <f t="shared" si="15"/>
        <v>2.403723664870162</v>
      </c>
      <c r="H48" s="26">
        <f t="shared" si="15"/>
        <v>2.8191796649335643</v>
      </c>
      <c r="I48" s="26">
        <f t="shared" si="15"/>
        <v>3.88203125</v>
      </c>
      <c r="J48" s="26">
        <f t="shared" si="15"/>
        <v>6.15625</v>
      </c>
      <c r="K48" s="29">
        <f t="shared" si="15"/>
        <v>6.55217965653897</v>
      </c>
      <c r="L48" s="27">
        <f t="shared" si="15"/>
        <v>6.418333333333333</v>
      </c>
      <c r="M48" s="27">
        <f t="shared" si="15"/>
        <v>5.634831460674158</v>
      </c>
      <c r="N48" s="27">
        <f t="shared" si="15"/>
        <v>11.749303621169917</v>
      </c>
      <c r="O48" s="5">
        <f t="shared" si="15"/>
        <v>15.179401993355482</v>
      </c>
      <c r="P48" s="18">
        <f t="shared" si="15"/>
        <v>19.458333333333332</v>
      </c>
    </row>
    <row r="49" spans="1:16" ht="11.25">
      <c r="A49" s="4" t="s">
        <v>43</v>
      </c>
      <c r="B49" s="4"/>
      <c r="C49" s="30">
        <f aca="true" t="shared" si="16" ref="C49:P49">C25/C12</f>
        <v>0.9120933697541594</v>
      </c>
      <c r="D49" s="30">
        <f t="shared" si="16"/>
        <v>1.2537998279323201</v>
      </c>
      <c r="E49" s="30">
        <f t="shared" si="16"/>
        <v>1.5801987224982257</v>
      </c>
      <c r="F49" s="31">
        <f t="shared" si="16"/>
        <v>1.9482535575679172</v>
      </c>
      <c r="G49" s="30">
        <f t="shared" si="16"/>
        <v>2.403723664870162</v>
      </c>
      <c r="H49" s="30">
        <f t="shared" si="16"/>
        <v>2.825709322524609</v>
      </c>
      <c r="I49" s="30">
        <f t="shared" si="16"/>
        <v>3.8972549019607845</v>
      </c>
      <c r="J49" s="30">
        <f t="shared" si="16"/>
        <v>6.185990338164252</v>
      </c>
      <c r="K49" s="32">
        <f t="shared" si="16"/>
        <v>8.969258589511755</v>
      </c>
      <c r="L49" s="30">
        <f t="shared" si="16"/>
        <v>9.724747474747474</v>
      </c>
      <c r="M49" s="30">
        <f t="shared" si="16"/>
        <v>11.175487465181059</v>
      </c>
      <c r="N49" s="30">
        <f t="shared" si="16"/>
        <v>11.815126050420169</v>
      </c>
      <c r="O49" s="4">
        <f t="shared" si="16"/>
        <v>15.280936454849499</v>
      </c>
      <c r="P49" s="20">
        <f t="shared" si="16"/>
        <v>19.594405594405593</v>
      </c>
    </row>
    <row r="50" spans="1:16" ht="11.25">
      <c r="A50" s="14" t="s">
        <v>44</v>
      </c>
      <c r="C50" s="26"/>
      <c r="D50" s="33"/>
      <c r="E50" s="27"/>
      <c r="F50" s="28"/>
      <c r="G50" s="26"/>
      <c r="H50" s="26"/>
      <c r="I50" s="26"/>
      <c r="J50" s="26"/>
      <c r="K50" s="29"/>
      <c r="L50" s="27"/>
      <c r="M50" s="27"/>
      <c r="N50" s="27"/>
      <c r="O50" s="5"/>
      <c r="P50" s="18"/>
    </row>
    <row r="51" spans="1:16" ht="11.25">
      <c r="A51" s="3" t="s">
        <v>45</v>
      </c>
      <c r="C51" s="27">
        <f aca="true" t="shared" si="17" ref="C51:P51">C11/C16</f>
        <v>0.8168130489335006</v>
      </c>
      <c r="D51" s="27">
        <f t="shared" si="17"/>
        <v>1.2010976087808702</v>
      </c>
      <c r="E51" s="27">
        <f t="shared" si="17"/>
        <v>1.416561047739755</v>
      </c>
      <c r="F51" s="28">
        <f t="shared" si="17"/>
        <v>1.9820322180916976</v>
      </c>
      <c r="G51" s="26">
        <f t="shared" si="17"/>
        <v>3.220823798627002</v>
      </c>
      <c r="H51" s="26">
        <f t="shared" si="17"/>
        <v>4.994836488812393</v>
      </c>
      <c r="I51" s="26">
        <f t="shared" si="17"/>
        <v>7.114285714285714</v>
      </c>
      <c r="J51" s="26">
        <f t="shared" si="17"/>
        <v>15.451327433628318</v>
      </c>
      <c r="K51" s="29">
        <f t="shared" si="17"/>
        <v>28.9609375</v>
      </c>
      <c r="L51" s="27">
        <f t="shared" si="17"/>
        <v>24.21153846153846</v>
      </c>
      <c r="M51" s="27">
        <f t="shared" si="17"/>
        <v>35.82857142857143</v>
      </c>
      <c r="N51" s="27">
        <f t="shared" si="17"/>
        <v>45.149253731343286</v>
      </c>
      <c r="O51" s="5">
        <f t="shared" si="17"/>
        <v>80.125</v>
      </c>
      <c r="P51" s="18">
        <f t="shared" si="17"/>
        <v>352.5</v>
      </c>
    </row>
    <row r="52" spans="1:16" ht="11.25">
      <c r="A52" s="3" t="s">
        <v>46</v>
      </c>
      <c r="C52" s="27">
        <f aca="true" t="shared" si="18" ref="C52:P52">C11/C10</f>
        <v>0.3522727272727273</v>
      </c>
      <c r="D52" s="27">
        <f t="shared" si="18"/>
        <v>0.41630434782608694</v>
      </c>
      <c r="E52" s="27">
        <f t="shared" si="18"/>
        <v>0.47715952753664437</v>
      </c>
      <c r="F52" s="28">
        <f t="shared" si="18"/>
        <v>0.4994535519125683</v>
      </c>
      <c r="G52" s="26">
        <f t="shared" si="18"/>
        <v>0.4659053293611387</v>
      </c>
      <c r="H52" s="26">
        <f t="shared" si="18"/>
        <v>0.5012089810017271</v>
      </c>
      <c r="I52" s="26">
        <f t="shared" si="18"/>
        <v>0.5696937697993664</v>
      </c>
      <c r="J52" s="26">
        <f t="shared" si="18"/>
        <v>0.6313505695172663</v>
      </c>
      <c r="K52" s="29">
        <f t="shared" si="18"/>
        <v>0.6594911937377691</v>
      </c>
      <c r="L52" s="27">
        <f t="shared" si="18"/>
        <v>0.5876312718786464</v>
      </c>
      <c r="M52" s="27">
        <f t="shared" si="18"/>
        <v>0.5693530079455165</v>
      </c>
      <c r="N52" s="27">
        <f t="shared" si="18"/>
        <v>0.6557554736613918</v>
      </c>
      <c r="O52" s="5">
        <f t="shared" si="18"/>
        <v>0.6555532828799345</v>
      </c>
      <c r="P52" s="18">
        <f t="shared" si="18"/>
        <v>0.7152519445383835</v>
      </c>
    </row>
    <row r="53" spans="1:16" ht="11.25">
      <c r="A53" s="4" t="s">
        <v>47</v>
      </c>
      <c r="B53" s="4"/>
      <c r="C53" s="30">
        <f aca="true" t="shared" si="19" ref="C53:P53">(C11+C15)/C16</f>
        <v>0.8202634880803011</v>
      </c>
      <c r="D53" s="30">
        <f t="shared" si="19"/>
        <v>1.2026656213249707</v>
      </c>
      <c r="E53" s="30">
        <f t="shared" si="19"/>
        <v>1.416561047739755</v>
      </c>
      <c r="F53" s="31">
        <f t="shared" si="19"/>
        <v>1.9851301115241635</v>
      </c>
      <c r="G53" s="30">
        <f t="shared" si="19"/>
        <v>3.220823798627002</v>
      </c>
      <c r="H53" s="30">
        <f t="shared" si="19"/>
        <v>5.001721170395869</v>
      </c>
      <c r="I53" s="30">
        <f t="shared" si="19"/>
        <v>7.125274725274726</v>
      </c>
      <c r="J53" s="30">
        <f t="shared" si="19"/>
        <v>15.469026548672566</v>
      </c>
      <c r="K53" s="32">
        <f t="shared" si="19"/>
        <v>30.5546875</v>
      </c>
      <c r="L53" s="30">
        <f t="shared" si="19"/>
        <v>26.173076923076923</v>
      </c>
      <c r="M53" s="30">
        <f t="shared" si="19"/>
        <v>40.871428571428574</v>
      </c>
      <c r="N53" s="30">
        <f t="shared" si="19"/>
        <v>45.17910447761194</v>
      </c>
      <c r="O53" s="4">
        <f t="shared" si="19"/>
        <v>80.175</v>
      </c>
      <c r="P53" s="20">
        <f t="shared" si="19"/>
        <v>352.6666666666667</v>
      </c>
    </row>
    <row r="54" spans="1:16" ht="11.25">
      <c r="A54" s="14" t="s">
        <v>48</v>
      </c>
      <c r="C54" s="26"/>
      <c r="D54" s="33"/>
      <c r="E54" s="27"/>
      <c r="F54" s="28"/>
      <c r="G54" s="26"/>
      <c r="H54" s="26"/>
      <c r="I54" s="26"/>
      <c r="J54" s="26"/>
      <c r="K54" s="29"/>
      <c r="L54" s="27"/>
      <c r="M54" s="27"/>
      <c r="N54" s="27"/>
      <c r="O54" s="5"/>
      <c r="P54" s="18"/>
    </row>
    <row r="55" spans="1:16" ht="11.25">
      <c r="A55" s="3" t="s">
        <v>49</v>
      </c>
      <c r="B55" s="5"/>
      <c r="C55" s="27">
        <f>(C40)/C28</f>
        <v>-0.06843230794538575</v>
      </c>
      <c r="D55" s="27">
        <f>((D40)/0.75)/D28</f>
        <v>-0.04136346227499042</v>
      </c>
      <c r="E55" s="27">
        <f>((E40)/0.5)/E28</f>
        <v>-0.0634455832113226</v>
      </c>
      <c r="F55" s="28">
        <f>((F40)/0.25)/F28</f>
        <v>-0.030418250950570342</v>
      </c>
      <c r="G55" s="27">
        <f>(G40)/G28</f>
        <v>-0.2923516797712652</v>
      </c>
      <c r="H55" s="26">
        <f>((H40)/0.75)/H28</f>
        <v>-0.41298441298441296</v>
      </c>
      <c r="I55" s="26">
        <f>((I40)/0.5)/I28</f>
        <v>-0.5441767068273092</v>
      </c>
      <c r="J55" s="26">
        <f>((J40)/0.25)/J28</f>
        <v>-0.799328295549958</v>
      </c>
      <c r="K55" s="29">
        <f>(K40)/K28</f>
        <v>-1.3780718336483933</v>
      </c>
      <c r="L55" s="27">
        <f>((L40)/0.75)/L28</f>
        <v>-1.7120127287191726</v>
      </c>
      <c r="M55" s="27">
        <f>((M40)/0.5)/M28</f>
        <v>-1.7117117117117118</v>
      </c>
      <c r="N55" s="27">
        <f>((N40)/0.25)/N28</f>
        <v>-2.8225806451612905</v>
      </c>
      <c r="O55" s="5">
        <f>O40/O28</f>
        <v>-1.3393258426966292</v>
      </c>
      <c r="P55" s="22" t="s">
        <v>24</v>
      </c>
    </row>
    <row r="56" spans="1:16" ht="11.25">
      <c r="A56" s="3" t="s">
        <v>50</v>
      </c>
      <c r="B56" s="5"/>
      <c r="C56" s="27">
        <f>(C40)/C27</f>
        <v>-0.030966205151109125</v>
      </c>
      <c r="D56" s="27">
        <f>((D40)/0.75)/D27</f>
        <v>-0.016425855513307986</v>
      </c>
      <c r="E56" s="27">
        <f>((E40)/0.5)/E27</f>
        <v>-0.02045794318986545</v>
      </c>
      <c r="F56" s="28">
        <f>((F40)/0.25)/F27</f>
        <v>-0.00804289544235925</v>
      </c>
      <c r="G56" s="27">
        <f>(G40)/G27</f>
        <v>-0.07013632856040469</v>
      </c>
      <c r="H56" s="26">
        <f>((H40)/0.75)/H27</f>
        <v>-0.09555004135649296</v>
      </c>
      <c r="I56" s="26">
        <f>((I40)/0.5)/I27</f>
        <v>-0.10746505402993953</v>
      </c>
      <c r="J56" s="26">
        <f>((J40)/0.25)/J27</f>
        <v>-0.09384858044164038</v>
      </c>
      <c r="K56" s="29">
        <f>(K40)/K27</f>
        <v>-0.13872502378686966</v>
      </c>
      <c r="L56" s="27">
        <f>((L40)/0.75)/L27</f>
        <v>-0.19185165373985916</v>
      </c>
      <c r="M56" s="27">
        <f>((M40)/0.5)/M27</f>
        <v>-0.2038079914186109</v>
      </c>
      <c r="N56" s="27">
        <f>((N40)/0.25)/N27</f>
        <v>-0.1855779427359491</v>
      </c>
      <c r="O56" s="5">
        <f>O40/O27</f>
        <v>-0.07596227377007392</v>
      </c>
      <c r="P56" s="22" t="s">
        <v>24</v>
      </c>
    </row>
    <row r="57" spans="1:16" ht="11.25">
      <c r="A57" s="3" t="s">
        <v>51</v>
      </c>
      <c r="B57" s="5"/>
      <c r="C57" s="27">
        <f>(C40)/C31</f>
        <v>-0.04849050005828185</v>
      </c>
      <c r="D57" s="27">
        <f>((D40)/0.75)/D31</f>
        <v>-0.023346303501945526</v>
      </c>
      <c r="E57" s="27">
        <f>((E40)/0.5)/E31</f>
        <v>-0.02759499044788792</v>
      </c>
      <c r="F57" s="28">
        <f>((F40)/0.25)/F31</f>
        <v>-0.00995850622406639</v>
      </c>
      <c r="G57" s="27">
        <f>(G40)/G31</f>
        <v>-0.0829110075005068</v>
      </c>
      <c r="H57" s="26">
        <f>((H40)/0.75)/H31</f>
        <v>-0.11025846600236704</v>
      </c>
      <c r="I57" s="26">
        <f>((I40)/0.5)/I31</f>
        <v>-0.12069925398062577</v>
      </c>
      <c r="J57" s="26">
        <f>((J40)/0.25)/J31</f>
        <v>-0.10192719486081371</v>
      </c>
      <c r="K57" s="29">
        <f>(K40)/K31</f>
        <v>-0.15300661139678876</v>
      </c>
      <c r="L57" s="27">
        <f>((L40)/0.75)/L31</f>
        <v>-0.22146753113100753</v>
      </c>
      <c r="M57" s="27">
        <f>((M40)/0.5)/M31</f>
        <v>-0.22720478325859492</v>
      </c>
      <c r="N57" s="27">
        <f>((N40)/0.25)/N31</f>
        <v>-0.2012072434607646</v>
      </c>
      <c r="O57" s="5">
        <f>O40/O31</f>
        <v>-0.08085741419074752</v>
      </c>
      <c r="P57" s="22" t="s">
        <v>24</v>
      </c>
    </row>
    <row r="58" spans="1:16" ht="11.25">
      <c r="A58" s="3" t="s">
        <v>52</v>
      </c>
      <c r="B58" s="5"/>
      <c r="C58" s="27">
        <f aca="true" t="shared" si="20" ref="C58:P58">(C33)/C28</f>
        <v>0.20167790755058398</v>
      </c>
      <c r="D58" s="27">
        <f t="shared" si="20"/>
        <v>0.0585982382229031</v>
      </c>
      <c r="E58" s="27">
        <f t="shared" si="20"/>
        <v>0.0741825280624695</v>
      </c>
      <c r="F58" s="28">
        <f t="shared" si="20"/>
        <v>0.08365019011406843</v>
      </c>
      <c r="G58" s="27">
        <f t="shared" si="20"/>
        <v>0.3059328091493924</v>
      </c>
      <c r="H58" s="27">
        <f t="shared" si="20"/>
        <v>0.25997425997426</v>
      </c>
      <c r="I58" s="27">
        <f t="shared" si="20"/>
        <v>0.19678714859437751</v>
      </c>
      <c r="J58" s="28">
        <f t="shared" si="20"/>
        <v>0.16624685138539042</v>
      </c>
      <c r="K58" s="27">
        <f t="shared" si="20"/>
        <v>0.5708884688090737</v>
      </c>
      <c r="L58" s="27">
        <f t="shared" si="20"/>
        <v>0.5417661097852029</v>
      </c>
      <c r="M58" s="27">
        <f t="shared" si="20"/>
        <v>0.36036036036036034</v>
      </c>
      <c r="N58" s="27">
        <f t="shared" si="20"/>
        <v>0.31451612903225806</v>
      </c>
      <c r="O58" s="5">
        <f t="shared" si="20"/>
        <v>0.8853932584269663</v>
      </c>
      <c r="P58" s="34" t="e">
        <f t="shared" si="20"/>
        <v>#VALUE!</v>
      </c>
    </row>
    <row r="59" spans="1:16" ht="11.25">
      <c r="A59" s="3" t="s">
        <v>53</v>
      </c>
      <c r="B59" s="5"/>
      <c r="C59" s="27">
        <f aca="true" t="shared" si="21" ref="C59:P59">(C34)/C28</f>
        <v>0.05033722651751933</v>
      </c>
      <c r="D59" s="27">
        <f t="shared" si="21"/>
        <v>0.015702795863653772</v>
      </c>
      <c r="E59" s="27">
        <f t="shared" si="21"/>
        <v>0.016593460224499756</v>
      </c>
      <c r="F59" s="28">
        <f t="shared" si="21"/>
        <v>0.013307984790874524</v>
      </c>
      <c r="G59" s="27">
        <f t="shared" si="21"/>
        <v>0.017155110793423873</v>
      </c>
      <c r="H59" s="27">
        <f t="shared" si="21"/>
        <v>0.010296010296010296</v>
      </c>
      <c r="I59" s="27">
        <f t="shared" si="21"/>
        <v>0.004016064257028112</v>
      </c>
      <c r="J59" s="28">
        <f t="shared" si="21"/>
        <v>0.0033585222502099076</v>
      </c>
      <c r="K59" s="27">
        <f t="shared" si="21"/>
        <v>0.001890359168241966</v>
      </c>
      <c r="L59" s="27">
        <f t="shared" si="21"/>
        <v>0.002386634844868735</v>
      </c>
      <c r="M59" s="27">
        <f t="shared" si="21"/>
        <v>0.0022522522522522522</v>
      </c>
      <c r="N59" s="27">
        <f t="shared" si="21"/>
        <v>0</v>
      </c>
      <c r="O59" s="5">
        <f t="shared" si="21"/>
        <v>0.02696629213483146</v>
      </c>
      <c r="P59" s="34" t="e">
        <f t="shared" si="21"/>
        <v>#VALUE!</v>
      </c>
    </row>
    <row r="60" spans="1:16" ht="11.25">
      <c r="A60" s="3" t="s">
        <v>54</v>
      </c>
      <c r="B60" s="5"/>
      <c r="C60" s="27">
        <f aca="true" t="shared" si="22" ref="C60:P60">(C35)/C28</f>
        <v>0.15134068103306464</v>
      </c>
      <c r="D60" s="27">
        <f t="shared" si="22"/>
        <v>0.04289544235924933</v>
      </c>
      <c r="E60" s="27">
        <f t="shared" si="22"/>
        <v>0.05758906783796974</v>
      </c>
      <c r="F60" s="28">
        <f t="shared" si="22"/>
        <v>0.07034220532319392</v>
      </c>
      <c r="G60" s="27">
        <f t="shared" si="22"/>
        <v>0.28877769835596856</v>
      </c>
      <c r="H60" s="27">
        <f t="shared" si="22"/>
        <v>0.24967824967824967</v>
      </c>
      <c r="I60" s="27">
        <f t="shared" si="22"/>
        <v>0.1927710843373494</v>
      </c>
      <c r="J60" s="28">
        <f t="shared" si="22"/>
        <v>0.16288832913518053</v>
      </c>
      <c r="K60" s="27">
        <f t="shared" si="22"/>
        <v>0.5689981096408318</v>
      </c>
      <c r="L60" s="27">
        <f t="shared" si="22"/>
        <v>0.5393794749403341</v>
      </c>
      <c r="M60" s="27">
        <f t="shared" si="22"/>
        <v>0.3581081081081081</v>
      </c>
      <c r="N60" s="27">
        <f t="shared" si="22"/>
        <v>0.31451612903225806</v>
      </c>
      <c r="O60" s="5">
        <f t="shared" si="22"/>
        <v>0.8584269662921349</v>
      </c>
      <c r="P60" s="34" t="e">
        <f t="shared" si="22"/>
        <v>#VALUE!</v>
      </c>
    </row>
    <row r="61" spans="1:16" ht="11.25">
      <c r="A61" s="3" t="s">
        <v>55</v>
      </c>
      <c r="B61" s="5"/>
      <c r="C61" s="27">
        <f>(C38)/(C37)</f>
        <v>1.1076233183856503</v>
      </c>
      <c r="D61" s="27">
        <f>(D38/0.75)/(D37/0.75)</f>
        <v>1.09478672985782</v>
      </c>
      <c r="E61" s="27">
        <f>(E38/0.5)/(E37/0.5)</f>
        <v>1.2535885167464116</v>
      </c>
      <c r="F61" s="28">
        <f>(F38/0.25)/(F37/0.25)</f>
        <v>1.0373831775700935</v>
      </c>
      <c r="G61" s="27">
        <f>(G38)/(G37)</f>
        <v>1.5340393343419063</v>
      </c>
      <c r="H61" s="27">
        <f>(H38/0.75)/(H37/0.75)</f>
        <v>1.6824324324324325</v>
      </c>
      <c r="I61" s="27">
        <f>(I38/0.5)/(I37/0.5)</f>
        <v>1.8962962962962964</v>
      </c>
      <c r="J61" s="28">
        <f>(J38/0.25)/(J37/0.25)</f>
        <v>1.928</v>
      </c>
      <c r="K61" s="27">
        <f>(K38)/(K37)</f>
        <v>2.991228070175439</v>
      </c>
      <c r="L61" s="27">
        <f>((L38)/0.75)/((L37)/0.75)</f>
        <v>2.9800000000000004</v>
      </c>
      <c r="M61" s="27">
        <f>((M38)/0.5)/((M37)/0.5)</f>
        <v>2.964497041420118</v>
      </c>
      <c r="N61" s="27">
        <f>(N38/0.25)/(N37/0.25)</f>
        <v>3.024390243902439</v>
      </c>
      <c r="O61" s="5">
        <f>O38/O37</f>
        <v>1.4236006051437216</v>
      </c>
      <c r="P61" s="18">
        <f>P38/P37</f>
        <v>1.5358166189111748</v>
      </c>
    </row>
    <row r="62" spans="1:16" ht="11.25">
      <c r="A62" s="4" t="s">
        <v>56</v>
      </c>
      <c r="B62" s="4"/>
      <c r="C62" s="30">
        <f aca="true" t="shared" si="23" ref="C62:P62">(C36)/C28</f>
        <v>0.1421286395788781</v>
      </c>
      <c r="D62" s="30">
        <f t="shared" si="23"/>
        <v>0.03791650708540789</v>
      </c>
      <c r="E62" s="30">
        <f t="shared" si="23"/>
        <v>0.04441190824792582</v>
      </c>
      <c r="F62" s="31">
        <f t="shared" si="23"/>
        <v>0.06527249683143219</v>
      </c>
      <c r="G62" s="30">
        <f t="shared" si="23"/>
        <v>0.1837026447462473</v>
      </c>
      <c r="H62" s="30">
        <f t="shared" si="23"/>
        <v>0.13127413127413126</v>
      </c>
      <c r="I62" s="30">
        <f t="shared" si="23"/>
        <v>0.0783132530120482</v>
      </c>
      <c r="J62" s="31">
        <f t="shared" si="23"/>
        <v>0.047019311502938706</v>
      </c>
      <c r="K62" s="30">
        <f t="shared" si="23"/>
        <v>0.07750472589792061</v>
      </c>
      <c r="L62" s="30">
        <f t="shared" si="23"/>
        <v>0.057279236276849645</v>
      </c>
      <c r="M62" s="30">
        <f t="shared" si="23"/>
        <v>0.02252252252252252</v>
      </c>
      <c r="N62" s="30">
        <f t="shared" si="23"/>
        <v>0.016129032258064516</v>
      </c>
      <c r="O62" s="4">
        <f t="shared" si="23"/>
        <v>2.1123595505617976</v>
      </c>
      <c r="P62" s="35" t="e">
        <f t="shared" si="23"/>
        <v>#VALUE!</v>
      </c>
    </row>
    <row r="63" spans="1:16" ht="11.25">
      <c r="A63" s="14" t="s">
        <v>57</v>
      </c>
      <c r="B63" s="5"/>
      <c r="C63" s="5"/>
      <c r="D63" s="5"/>
      <c r="E63" s="5"/>
      <c r="F63" s="18"/>
      <c r="K63" s="19"/>
      <c r="L63" s="5"/>
      <c r="M63" s="5"/>
      <c r="N63" s="5"/>
      <c r="O63" s="5"/>
      <c r="P63" s="18"/>
    </row>
    <row r="64" spans="1:16" ht="11.25">
      <c r="A64" s="3" t="s">
        <v>58</v>
      </c>
      <c r="B64" s="5"/>
      <c r="C64" s="5">
        <v>44</v>
      </c>
      <c r="D64" s="5">
        <v>33</v>
      </c>
      <c r="E64" s="5">
        <v>25</v>
      </c>
      <c r="F64" s="18">
        <v>20</v>
      </c>
      <c r="G64" s="3">
        <v>19</v>
      </c>
      <c r="H64" s="3">
        <v>18</v>
      </c>
      <c r="I64" s="3">
        <v>21</v>
      </c>
      <c r="J64" s="3">
        <v>22</v>
      </c>
      <c r="K64" s="19">
        <v>25</v>
      </c>
      <c r="L64" s="5">
        <v>24</v>
      </c>
      <c r="M64" s="5">
        <v>27</v>
      </c>
      <c r="N64" s="5">
        <v>22</v>
      </c>
      <c r="O64" s="5">
        <v>20</v>
      </c>
      <c r="P64" s="18">
        <v>11</v>
      </c>
    </row>
    <row r="65" spans="1:16" ht="11.25">
      <c r="A65" s="3" t="s">
        <v>59</v>
      </c>
      <c r="B65" s="5"/>
      <c r="C65" s="5">
        <v>158</v>
      </c>
      <c r="D65" s="5">
        <v>5</v>
      </c>
      <c r="E65" s="5">
        <v>5</v>
      </c>
      <c r="F65" s="18">
        <v>5</v>
      </c>
      <c r="G65" s="3">
        <v>5</v>
      </c>
      <c r="H65" s="3">
        <v>5</v>
      </c>
      <c r="I65" s="3">
        <v>5</v>
      </c>
      <c r="J65" s="3">
        <v>5</v>
      </c>
      <c r="K65" s="19">
        <v>2</v>
      </c>
      <c r="L65" s="5">
        <v>2</v>
      </c>
      <c r="M65" s="5">
        <v>2</v>
      </c>
      <c r="N65" s="5">
        <v>2</v>
      </c>
      <c r="O65" s="5">
        <v>2</v>
      </c>
      <c r="P65" s="18">
        <v>1</v>
      </c>
    </row>
    <row r="66" spans="1:16" ht="11.25">
      <c r="A66" s="3" t="s">
        <v>60</v>
      </c>
      <c r="B66" s="5"/>
      <c r="C66" s="5">
        <f aca="true" t="shared" si="24" ref="C66:P66">C12/C64</f>
        <v>91.52272727272727</v>
      </c>
      <c r="D66" s="5">
        <f t="shared" si="24"/>
        <v>105.66666666666667</v>
      </c>
      <c r="E66" s="5">
        <f t="shared" si="24"/>
        <v>112.72</v>
      </c>
      <c r="F66" s="18">
        <f t="shared" si="24"/>
        <v>115.95</v>
      </c>
      <c r="G66" s="3">
        <f t="shared" si="24"/>
        <v>107.42105263157895</v>
      </c>
      <c r="H66" s="3">
        <f t="shared" si="24"/>
        <v>95.94444444444444</v>
      </c>
      <c r="I66" s="3">
        <f t="shared" si="24"/>
        <v>60.714285714285715</v>
      </c>
      <c r="J66" s="3">
        <f t="shared" si="24"/>
        <v>37.63636363636363</v>
      </c>
      <c r="K66" s="19">
        <f t="shared" si="24"/>
        <v>22.12</v>
      </c>
      <c r="L66" s="5">
        <f t="shared" si="24"/>
        <v>16.5</v>
      </c>
      <c r="M66" s="5">
        <f t="shared" si="24"/>
        <v>13.296296296296296</v>
      </c>
      <c r="N66" s="5">
        <f t="shared" si="24"/>
        <v>16.227272727272727</v>
      </c>
      <c r="O66" s="5">
        <f t="shared" si="24"/>
        <v>14.95</v>
      </c>
      <c r="P66" s="18">
        <f t="shared" si="24"/>
        <v>13</v>
      </c>
    </row>
    <row r="67" spans="1:16" ht="11.25">
      <c r="A67" s="3" t="s">
        <v>61</v>
      </c>
      <c r="B67" s="5"/>
      <c r="C67" s="5">
        <f aca="true" t="shared" si="25" ref="C67:P67">C16/C64</f>
        <v>72.45454545454545</v>
      </c>
      <c r="D67" s="5">
        <f t="shared" si="25"/>
        <v>77.3030303030303</v>
      </c>
      <c r="E67" s="5">
        <f t="shared" si="25"/>
        <v>94.68</v>
      </c>
      <c r="F67" s="18">
        <f t="shared" si="25"/>
        <v>80.7</v>
      </c>
      <c r="G67" s="3">
        <f t="shared" si="25"/>
        <v>46</v>
      </c>
      <c r="H67" s="3">
        <f t="shared" si="25"/>
        <v>32.27777777777778</v>
      </c>
      <c r="I67" s="3">
        <f t="shared" si="25"/>
        <v>21.666666666666668</v>
      </c>
      <c r="J67" s="3">
        <f t="shared" si="25"/>
        <v>10.272727272727273</v>
      </c>
      <c r="K67" s="19">
        <f t="shared" si="25"/>
        <v>5.12</v>
      </c>
      <c r="L67" s="5">
        <f t="shared" si="25"/>
        <v>4.333333333333333</v>
      </c>
      <c r="M67" s="5">
        <f t="shared" si="25"/>
        <v>2.5925925925925926</v>
      </c>
      <c r="N67" s="5">
        <f t="shared" si="25"/>
        <v>3.0454545454545454</v>
      </c>
      <c r="O67" s="5">
        <f t="shared" si="25"/>
        <v>2</v>
      </c>
      <c r="P67" s="18">
        <f t="shared" si="25"/>
        <v>0.5454545454545454</v>
      </c>
    </row>
    <row r="68" spans="1:16" ht="11.25">
      <c r="A68" s="4" t="s">
        <v>62</v>
      </c>
      <c r="B68" s="4"/>
      <c r="C68" s="4">
        <f aca="true" t="shared" si="26" ref="C68:P68">C40/C64</f>
        <v>-4.7272727272727275</v>
      </c>
      <c r="D68" s="4">
        <f t="shared" si="26"/>
        <v>-2.4545454545454546</v>
      </c>
      <c r="E68" s="4">
        <f t="shared" si="26"/>
        <v>-2.6</v>
      </c>
      <c r="F68" s="20">
        <f t="shared" si="26"/>
        <v>-0.6</v>
      </c>
      <c r="G68" s="4">
        <f t="shared" si="26"/>
        <v>-21.526315789473685</v>
      </c>
      <c r="H68" s="4">
        <f t="shared" si="26"/>
        <v>-20.055555555555557</v>
      </c>
      <c r="I68" s="4">
        <f t="shared" si="26"/>
        <v>-12.904761904761905</v>
      </c>
      <c r="J68" s="4">
        <f t="shared" si="26"/>
        <v>-5.409090909090909</v>
      </c>
      <c r="K68" s="21">
        <f t="shared" si="26"/>
        <v>-29.16</v>
      </c>
      <c r="L68" s="4">
        <f t="shared" si="26"/>
        <v>-22.416666666666668</v>
      </c>
      <c r="M68" s="4">
        <f t="shared" si="26"/>
        <v>-14.074074074074074</v>
      </c>
      <c r="N68" s="4">
        <f t="shared" si="26"/>
        <v>-7.954545454545454</v>
      </c>
      <c r="O68" s="4">
        <f t="shared" si="26"/>
        <v>-14.9</v>
      </c>
      <c r="P68" s="20">
        <f t="shared" si="26"/>
        <v>-17.90909090909091</v>
      </c>
    </row>
    <row r="69" spans="1:16" ht="11.25">
      <c r="A69" s="14" t="s">
        <v>63</v>
      </c>
      <c r="B69" s="5"/>
      <c r="C69" s="5"/>
      <c r="D69" s="5"/>
      <c r="E69" s="5"/>
      <c r="F69" s="18"/>
      <c r="K69" s="19"/>
      <c r="L69" s="5"/>
      <c r="M69" s="5"/>
      <c r="N69" s="5"/>
      <c r="O69" s="5"/>
      <c r="P69" s="18"/>
    </row>
    <row r="70" spans="1:16" ht="11.25">
      <c r="A70" s="3" t="s">
        <v>64</v>
      </c>
      <c r="B70" s="5"/>
      <c r="C70" s="26">
        <f aca="true" t="shared" si="27" ref="C70:K70">(C10-G10)/G10</f>
        <v>0.2234359483614697</v>
      </c>
      <c r="D70" s="27">
        <f t="shared" si="27"/>
        <v>0.2711571675302245</v>
      </c>
      <c r="E70" s="27">
        <f t="shared" si="27"/>
        <v>0.23671242520239352</v>
      </c>
      <c r="F70" s="28">
        <f t="shared" si="27"/>
        <v>0.15801844151148076</v>
      </c>
      <c r="G70" s="26">
        <f t="shared" si="27"/>
        <v>0.07489770503469134</v>
      </c>
      <c r="H70" s="26">
        <f t="shared" si="27"/>
        <v>0.35122520420070014</v>
      </c>
      <c r="I70" s="26">
        <f t="shared" si="27"/>
        <v>0.2898978433598184</v>
      </c>
      <c r="J70" s="26">
        <f t="shared" si="27"/>
        <v>0.19900281812269674</v>
      </c>
      <c r="K70" s="29">
        <f t="shared" si="27"/>
        <v>0.14972386991204745</v>
      </c>
      <c r="L70" s="27">
        <f>(L10-3194)/3194</f>
        <v>0.34157795867251095</v>
      </c>
      <c r="M70" s="27">
        <f>(M10-3055)/3055</f>
        <v>0.44189852700491</v>
      </c>
      <c r="N70" s="36">
        <f>(N10-2929)/2929</f>
        <v>0.5749402526459543</v>
      </c>
      <c r="O70" s="5">
        <f>(O10-P10)/P10</f>
        <v>0.6533648968549205</v>
      </c>
      <c r="P70" s="22" t="s">
        <v>24</v>
      </c>
    </row>
    <row r="71" spans="1:16" ht="11.25">
      <c r="A71" s="3" t="s">
        <v>65</v>
      </c>
      <c r="B71" s="5"/>
      <c r="C71" s="26">
        <f aca="true" t="shared" si="28" ref="C71:K72">(C12-G12)/G12</f>
        <v>0.9730524252817246</v>
      </c>
      <c r="D71" s="27">
        <f t="shared" si="28"/>
        <v>1.019108280254777</v>
      </c>
      <c r="E71" s="27">
        <f t="shared" si="28"/>
        <v>1.2101960784313726</v>
      </c>
      <c r="F71" s="28">
        <f t="shared" si="28"/>
        <v>1.8007246376811594</v>
      </c>
      <c r="G71" s="26">
        <f t="shared" si="28"/>
        <v>2.690777576853526</v>
      </c>
      <c r="H71" s="26">
        <f t="shared" si="28"/>
        <v>3.361111111111111</v>
      </c>
      <c r="I71" s="26">
        <f t="shared" si="28"/>
        <v>2.551532033426184</v>
      </c>
      <c r="J71" s="26">
        <f t="shared" si="28"/>
        <v>1.319327731092437</v>
      </c>
      <c r="K71" s="29">
        <f t="shared" si="28"/>
        <v>0.8494983277591973</v>
      </c>
      <c r="L71" s="27">
        <f>L12/239-1</f>
        <v>0.6569037656903767</v>
      </c>
      <c r="M71" s="27">
        <f>M12/176-1</f>
        <v>1.039772727272727</v>
      </c>
      <c r="N71" s="27">
        <f>N12/136-1</f>
        <v>1.625</v>
      </c>
      <c r="O71" s="5">
        <f>(O12-P12)/P12</f>
        <v>1.0909090909090908</v>
      </c>
      <c r="P71" s="22" t="s">
        <v>24</v>
      </c>
    </row>
    <row r="72" spans="2:16" ht="11.25">
      <c r="B72" s="5" t="s">
        <v>15</v>
      </c>
      <c r="C72" s="26">
        <f t="shared" si="28"/>
        <v>0.9730524252817246</v>
      </c>
      <c r="D72" s="27">
        <f t="shared" si="28"/>
        <v>1.019108280254777</v>
      </c>
      <c r="E72" s="27">
        <f t="shared" si="28"/>
        <v>1.2101960784313726</v>
      </c>
      <c r="F72" s="28">
        <f t="shared" si="28"/>
        <v>1.8007246376811594</v>
      </c>
      <c r="G72" s="26">
        <f t="shared" si="28"/>
        <v>2.690777576853526</v>
      </c>
      <c r="H72" s="26">
        <f t="shared" si="28"/>
        <v>3.361111111111111</v>
      </c>
      <c r="I72" s="26">
        <f t="shared" si="28"/>
        <v>2.551532033426184</v>
      </c>
      <c r="J72" s="26">
        <f t="shared" si="28"/>
        <v>1.319327731092437</v>
      </c>
      <c r="K72" s="29">
        <f t="shared" si="28"/>
        <v>0.8494983277591973</v>
      </c>
      <c r="L72" s="27">
        <f>L13/239-1</f>
        <v>0.6569037656903767</v>
      </c>
      <c r="M72" s="27">
        <f>M13/176-1</f>
        <v>1.039772727272727</v>
      </c>
      <c r="N72" s="27">
        <f>N13/136-1</f>
        <v>1.625</v>
      </c>
      <c r="O72" s="5">
        <f>(O13-P13)/P13</f>
        <v>1.0909090909090908</v>
      </c>
      <c r="P72" s="22" t="s">
        <v>24</v>
      </c>
    </row>
    <row r="73" spans="2:16" ht="11.25">
      <c r="B73" s="5" t="s">
        <v>16</v>
      </c>
      <c r="C73" s="27">
        <v>0</v>
      </c>
      <c r="D73" s="27">
        <v>0</v>
      </c>
      <c r="E73" s="27">
        <v>0</v>
      </c>
      <c r="F73" s="28">
        <v>0</v>
      </c>
      <c r="G73" s="27">
        <v>0</v>
      </c>
      <c r="H73" s="26">
        <v>0</v>
      </c>
      <c r="I73" s="26">
        <v>0</v>
      </c>
      <c r="J73" s="26">
        <v>0</v>
      </c>
      <c r="K73" s="29">
        <v>0</v>
      </c>
      <c r="L73" s="27">
        <v>0</v>
      </c>
      <c r="M73" s="27">
        <v>0</v>
      </c>
      <c r="N73" s="27">
        <v>0</v>
      </c>
      <c r="O73" s="5">
        <v>0</v>
      </c>
      <c r="P73" s="22" t="s">
        <v>24</v>
      </c>
    </row>
    <row r="74" spans="1:16" ht="11.25">
      <c r="A74" s="3" t="s">
        <v>66</v>
      </c>
      <c r="B74" s="5"/>
      <c r="C74" s="26">
        <f aca="true" t="shared" si="29" ref="C74:K75">(C16-G16)/G16</f>
        <v>2.6475972540045767</v>
      </c>
      <c r="D74" s="27">
        <f t="shared" si="29"/>
        <v>3.3907056798623065</v>
      </c>
      <c r="E74" s="27">
        <f t="shared" si="29"/>
        <v>4.202197802197802</v>
      </c>
      <c r="F74" s="28">
        <f t="shared" si="29"/>
        <v>6.1415929203539825</v>
      </c>
      <c r="G74" s="26">
        <f t="shared" si="29"/>
        <v>5.828125</v>
      </c>
      <c r="H74" s="26">
        <f t="shared" si="29"/>
        <v>4.586538461538462</v>
      </c>
      <c r="I74" s="26">
        <f t="shared" si="29"/>
        <v>5.5</v>
      </c>
      <c r="J74" s="26">
        <f t="shared" si="29"/>
        <v>2.373134328358209</v>
      </c>
      <c r="K74" s="29">
        <f t="shared" si="29"/>
        <v>2.2</v>
      </c>
      <c r="L74" s="27">
        <f>L16/36-1</f>
        <v>1.8888888888888888</v>
      </c>
      <c r="M74" s="27">
        <f>M16/24-1</f>
        <v>1.9166666666666665</v>
      </c>
      <c r="N74" s="27">
        <f>N16/8-1</f>
        <v>7.375</v>
      </c>
      <c r="O74" s="5">
        <f>(O16-P16)/P16</f>
        <v>5.666666666666667</v>
      </c>
      <c r="P74" s="22" t="s">
        <v>24</v>
      </c>
    </row>
    <row r="75" spans="2:16" ht="11.25">
      <c r="B75" s="5" t="s">
        <v>15</v>
      </c>
      <c r="C75" s="26">
        <f t="shared" si="29"/>
        <v>2.6475972540045767</v>
      </c>
      <c r="D75" s="27">
        <f t="shared" si="29"/>
        <v>3.3907056798623065</v>
      </c>
      <c r="E75" s="27">
        <f t="shared" si="29"/>
        <v>4.202197802197802</v>
      </c>
      <c r="F75" s="28">
        <f t="shared" si="29"/>
        <v>6.1415929203539825</v>
      </c>
      <c r="G75" s="26">
        <f t="shared" si="29"/>
        <v>5.828125</v>
      </c>
      <c r="H75" s="26">
        <f t="shared" si="29"/>
        <v>4.586538461538462</v>
      </c>
      <c r="I75" s="26">
        <f t="shared" si="29"/>
        <v>5.5</v>
      </c>
      <c r="J75" s="26">
        <f t="shared" si="29"/>
        <v>2.373134328358209</v>
      </c>
      <c r="K75" s="29">
        <f t="shared" si="29"/>
        <v>2.2</v>
      </c>
      <c r="L75" s="27">
        <f>L17/36-1</f>
        <v>1.8888888888888888</v>
      </c>
      <c r="M75" s="27">
        <f>M17/24-1</f>
        <v>1.9166666666666665</v>
      </c>
      <c r="N75" s="27">
        <f>N17/8-1</f>
        <v>7.375</v>
      </c>
      <c r="O75" s="5">
        <f>(O17-P17)/P17</f>
        <v>5.666666666666667</v>
      </c>
      <c r="P75" s="22" t="s">
        <v>24</v>
      </c>
    </row>
    <row r="76" spans="2:16" ht="11.25">
      <c r="B76" s="5" t="s">
        <v>16</v>
      </c>
      <c r="C76" s="26">
        <v>0</v>
      </c>
      <c r="D76" s="27">
        <v>0</v>
      </c>
      <c r="E76" s="27">
        <v>0</v>
      </c>
      <c r="F76" s="28">
        <v>0</v>
      </c>
      <c r="G76" s="26">
        <v>0</v>
      </c>
      <c r="H76" s="26">
        <v>0</v>
      </c>
      <c r="I76" s="26">
        <v>0</v>
      </c>
      <c r="J76" s="26">
        <v>0</v>
      </c>
      <c r="K76" s="29">
        <v>0</v>
      </c>
      <c r="L76" s="27">
        <v>0</v>
      </c>
      <c r="M76" s="27">
        <v>0</v>
      </c>
      <c r="N76" s="27">
        <v>0</v>
      </c>
      <c r="O76" s="5">
        <v>0</v>
      </c>
      <c r="P76" s="22" t="s">
        <v>24</v>
      </c>
    </row>
    <row r="77" spans="1:16" ht="11.25">
      <c r="A77" s="3" t="s">
        <v>67</v>
      </c>
      <c r="B77" s="5"/>
      <c r="C77" s="26">
        <f aca="true" t="shared" si="30" ref="C77:I77">C25/G25-1</f>
        <v>-0.25132490827558096</v>
      </c>
      <c r="D77" s="27">
        <f t="shared" si="30"/>
        <v>-0.10409836065573774</v>
      </c>
      <c r="E77" s="27">
        <f t="shared" si="30"/>
        <v>-0.10384383175689271</v>
      </c>
      <c r="F77" s="28">
        <f t="shared" si="30"/>
        <v>-0.11792268645060522</v>
      </c>
      <c r="G77" s="26">
        <f t="shared" si="30"/>
        <v>-0.010887096774193528</v>
      </c>
      <c r="H77" s="26">
        <f t="shared" si="30"/>
        <v>0.26720332381199685</v>
      </c>
      <c r="I77" s="26">
        <f t="shared" si="30"/>
        <v>0.23853439680957123</v>
      </c>
      <c r="J77" s="26">
        <f>(J25-N25)/N25</f>
        <v>0.21431958274063537</v>
      </c>
      <c r="K77" s="29">
        <f>(K25-O25)/O25</f>
        <v>0.08557671262858393</v>
      </c>
      <c r="L77" s="27">
        <f>(L25-2627)/2627</f>
        <v>0.4659307194518462</v>
      </c>
      <c r="M77" s="27">
        <f>(M25-2678)/2678</f>
        <v>0.4981329350261389</v>
      </c>
      <c r="N77" s="27">
        <f>(N25-2741)/2741</f>
        <v>0.5388544326887997</v>
      </c>
      <c r="O77" s="5">
        <f>(O25-P25)/P25</f>
        <v>0.6306209850107066</v>
      </c>
      <c r="P77" s="22" t="s">
        <v>24</v>
      </c>
    </row>
    <row r="78" spans="1:16" ht="11.25">
      <c r="A78" s="4" t="s">
        <v>68</v>
      </c>
      <c r="B78" s="4"/>
      <c r="C78" s="30">
        <f aca="true" t="shared" si="31" ref="C78:I78">(C40-G40)/G40</f>
        <v>-0.49144254278728605</v>
      </c>
      <c r="D78" s="30">
        <f t="shared" si="31"/>
        <v>-0.775623268698061</v>
      </c>
      <c r="E78" s="30">
        <f t="shared" si="31"/>
        <v>-0.7601476014760148</v>
      </c>
      <c r="F78" s="31">
        <f t="shared" si="31"/>
        <v>-0.8991596638655462</v>
      </c>
      <c r="G78" s="30">
        <f t="shared" si="31"/>
        <v>-0.438957475994513</v>
      </c>
      <c r="H78" s="30">
        <f t="shared" si="31"/>
        <v>-0.32899628252788105</v>
      </c>
      <c r="I78" s="30">
        <f t="shared" si="31"/>
        <v>-0.2868421052631579</v>
      </c>
      <c r="J78" s="30">
        <f>J40/N40-1</f>
        <v>-0.31999999999999995</v>
      </c>
      <c r="K78" s="32">
        <f>K40/O40-1</f>
        <v>1.4463087248322148</v>
      </c>
      <c r="L78" s="30">
        <f>-L40/-197-1</f>
        <v>-3.730964467005076</v>
      </c>
      <c r="M78" s="30">
        <f>M40/-133-1</f>
        <v>1.8571428571428572</v>
      </c>
      <c r="N78" s="30">
        <f>N40/-70-1</f>
        <v>1.5</v>
      </c>
      <c r="O78" s="4">
        <f>(O40-P40)/P40</f>
        <v>0.5126903553299492</v>
      </c>
      <c r="P78" s="13" t="s">
        <v>24</v>
      </c>
    </row>
    <row r="80" ht="11.25">
      <c r="A80" s="3" t="s">
        <v>69</v>
      </c>
    </row>
    <row r="81" spans="1:2" ht="11.25">
      <c r="A81" s="3">
        <v>-1</v>
      </c>
      <c r="B81" s="3" t="s">
        <v>70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2017-06-16T16:02:29Z</dcterms:created>
  <dcterms:modified xsi:type="dcterms:W3CDTF">2017-06-16T16:02:34Z</dcterms:modified>
  <cp:category/>
  <cp:version/>
  <cp:contentType/>
  <cp:contentStatus/>
</cp:coreProperties>
</file>