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satlántic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<sst xmlns="http://schemas.openxmlformats.org/spreadsheetml/2006/main" count="89" uniqueCount="68">
  <si>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18-4</t>
  </si>
  <si>
    <t>BANCO TRASATLANTICO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</si>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</sst>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0" fontId="1" fillId="0" borderId="0" xfId="52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4" xfId="46" applyNumberFormat="1" applyFont="1" applyBorder="1" applyAlignment="1">
      <alignment/>
    </xf>
    <xf numFmtId="195" fontId="2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5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17" xfId="46" applyNumberFormat="1" applyFont="1" applyBorder="1" applyAlignment="1">
      <alignment horizontal="center"/>
    </xf>
    <xf numFmtId="49" fontId="2" fillId="0" borderId="18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:F7"/>
    </sheetView>
  </sheetViews>
  <sheetFormatPr defaultColWidth="11.421875" defaultRowHeight="12.75"/>
  <cols>
    <col min="1" max="1" width="2.8515625" style="4" customWidth="1"/>
    <col min="2" max="2" width="27.421875" style="4" customWidth="1"/>
    <col min="3" max="3" width="7.421875" style="4" bestFit="1" customWidth="1"/>
    <col min="4" max="4" width="8.7109375" style="4" bestFit="1" customWidth="1"/>
    <col min="5" max="13" width="8.140625" style="4" bestFit="1" customWidth="1"/>
    <col min="14" max="14" width="7.57421875" style="4" customWidth="1"/>
    <col min="15" max="15" width="6.8515625" style="4" hidden="1" customWidth="1"/>
    <col min="16" max="16" width="0.13671875" style="4" hidden="1" customWidth="1"/>
    <col min="17" max="18" width="11.421875" style="4" customWidth="1"/>
    <col min="19" max="16384" width="11.421875" style="1" customWidth="1"/>
  </cols>
  <sheetData>
    <row r="1" spans="2:16" ht="11.25">
      <c r="B1" s="30"/>
      <c r="C1" s="30"/>
      <c r="D1" s="30"/>
      <c r="E1" s="30"/>
      <c r="F1" s="30"/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/>
    </row>
    <row r="2" spans="2:16" ht="11.25">
      <c r="B2" s="30"/>
      <c r="C2" s="30"/>
      <c r="D2" s="30"/>
      <c r="E2" s="30"/>
      <c r="F2" s="30"/>
      <c r="G2" s="30" t="s">
        <v>1</v>
      </c>
      <c r="H2" s="30"/>
      <c r="I2" s="30"/>
      <c r="J2" s="30"/>
      <c r="K2" s="30"/>
      <c r="L2" s="30"/>
      <c r="M2" s="30"/>
      <c r="N2" s="30"/>
      <c r="O2" s="30"/>
      <c r="P2" s="30"/>
    </row>
    <row r="3" spans="2:16" ht="11.25">
      <c r="B3" s="30"/>
      <c r="C3" s="30"/>
      <c r="D3" s="30"/>
      <c r="E3" s="30"/>
      <c r="F3" s="30"/>
      <c r="G3" s="30" t="s">
        <v>2</v>
      </c>
      <c r="H3" s="30"/>
      <c r="I3" s="30"/>
      <c r="J3" s="30"/>
      <c r="K3" s="30"/>
      <c r="L3" s="30"/>
      <c r="M3" s="30"/>
      <c r="N3" s="30"/>
      <c r="O3" s="30"/>
      <c r="P3" s="30"/>
    </row>
    <row r="4" spans="1:16" ht="11.25">
      <c r="A4" s="1"/>
      <c r="B4" s="29"/>
      <c r="C4" s="29"/>
      <c r="D4" s="29"/>
      <c r="E4" s="29"/>
      <c r="F4" s="29"/>
      <c r="G4" s="29" t="s">
        <v>3</v>
      </c>
      <c r="H4" s="29"/>
      <c r="I4" s="29"/>
      <c r="J4" s="29"/>
      <c r="K4" s="29"/>
      <c r="L4" s="29"/>
      <c r="M4" s="29"/>
      <c r="N4" s="29"/>
      <c r="O4" s="29"/>
      <c r="P4" s="29"/>
    </row>
    <row r="5" spans="1:16" ht="11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1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5"/>
      <c r="P6" s="5"/>
    </row>
    <row r="7" spans="1:18" s="2" customFormat="1" ht="9" customHeight="1">
      <c r="A7" s="7"/>
      <c r="B7" s="7"/>
      <c r="C7" s="31">
        <v>2002</v>
      </c>
      <c r="D7" s="31"/>
      <c r="E7" s="31"/>
      <c r="F7" s="33"/>
      <c r="G7" s="32">
        <v>2001</v>
      </c>
      <c r="H7" s="31"/>
      <c r="I7" s="31"/>
      <c r="J7" s="33"/>
      <c r="K7" s="31">
        <v>2000</v>
      </c>
      <c r="L7" s="31"/>
      <c r="M7" s="31"/>
      <c r="N7" s="31"/>
      <c r="O7" s="31" t="s">
        <v>4</v>
      </c>
      <c r="P7" s="31"/>
      <c r="Q7" s="8"/>
      <c r="R7" s="8"/>
    </row>
    <row r="8" spans="1:16" ht="11.25">
      <c r="A8" s="9"/>
      <c r="B8" s="9"/>
      <c r="C8" s="9" t="s">
        <v>5</v>
      </c>
      <c r="D8" s="9" t="s">
        <v>6</v>
      </c>
      <c r="E8" s="9" t="s">
        <v>7</v>
      </c>
      <c r="F8" s="10" t="s">
        <v>8</v>
      </c>
      <c r="G8" s="9" t="s">
        <v>5</v>
      </c>
      <c r="H8" s="9" t="s">
        <v>6</v>
      </c>
      <c r="I8" s="9" t="s">
        <v>7</v>
      </c>
      <c r="J8" s="9" t="s">
        <v>8</v>
      </c>
      <c r="K8" s="11" t="s">
        <v>5</v>
      </c>
      <c r="L8" s="9" t="s">
        <v>6</v>
      </c>
      <c r="M8" s="9" t="s">
        <v>7</v>
      </c>
      <c r="N8" s="9" t="s">
        <v>8</v>
      </c>
      <c r="O8" s="12" t="s">
        <v>9</v>
      </c>
      <c r="P8" s="12" t="s">
        <v>10</v>
      </c>
    </row>
    <row r="9" spans="1:16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4"/>
      <c r="M9" s="14"/>
      <c r="N9" s="14"/>
      <c r="O9" s="14"/>
      <c r="P9" s="14"/>
    </row>
    <row r="10" spans="1:16" ht="11.25">
      <c r="A10" s="4" t="s">
        <v>12</v>
      </c>
      <c r="C10" s="4">
        <v>140043</v>
      </c>
      <c r="D10" s="4">
        <v>136957</v>
      </c>
      <c r="E10" s="6">
        <v>147044</v>
      </c>
      <c r="F10" s="17">
        <v>148422</v>
      </c>
      <c r="G10" s="4">
        <v>145589</v>
      </c>
      <c r="H10" s="4">
        <v>150515</v>
      </c>
      <c r="I10" s="4">
        <v>144163</v>
      </c>
      <c r="J10" s="4">
        <v>151071</v>
      </c>
      <c r="K10" s="18">
        <v>149571</v>
      </c>
      <c r="L10" s="6">
        <v>157618</v>
      </c>
      <c r="M10" s="6">
        <v>137941</v>
      </c>
      <c r="N10" s="6">
        <v>138222</v>
      </c>
      <c r="O10" s="6">
        <v>134058</v>
      </c>
      <c r="P10" s="6">
        <v>130971</v>
      </c>
    </row>
    <row r="11" spans="1:16" ht="11.25">
      <c r="A11" s="4" t="s">
        <v>13</v>
      </c>
      <c r="C11" s="4">
        <v>33053</v>
      </c>
      <c r="D11" s="4">
        <v>27206</v>
      </c>
      <c r="E11" s="6">
        <v>25513</v>
      </c>
      <c r="F11" s="17">
        <v>27548</v>
      </c>
      <c r="G11" s="4">
        <v>19743</v>
      </c>
      <c r="H11" s="4">
        <v>24537</v>
      </c>
      <c r="I11" s="4">
        <v>16343</v>
      </c>
      <c r="J11" s="4">
        <v>21982</v>
      </c>
      <c r="K11" s="18">
        <v>17755</v>
      </c>
      <c r="L11" s="6">
        <v>29480</v>
      </c>
      <c r="M11" s="6">
        <v>34301</v>
      </c>
      <c r="N11" s="6">
        <v>30643</v>
      </c>
      <c r="O11" s="6">
        <v>35662</v>
      </c>
      <c r="P11" s="6">
        <v>33646</v>
      </c>
    </row>
    <row r="12" spans="1:16" ht="11.25">
      <c r="A12" s="4" t="s">
        <v>14</v>
      </c>
      <c r="C12" s="6">
        <f aca="true" t="shared" si="0" ref="C12:P12">C13+C14</f>
        <v>60200</v>
      </c>
      <c r="D12" s="6">
        <f t="shared" si="0"/>
        <v>58465</v>
      </c>
      <c r="E12" s="6">
        <f t="shared" si="0"/>
        <v>68075</v>
      </c>
      <c r="F12" s="17">
        <f t="shared" si="0"/>
        <v>66095</v>
      </c>
      <c r="G12" s="4">
        <f t="shared" si="0"/>
        <v>66136</v>
      </c>
      <c r="H12" s="4">
        <f t="shared" si="0"/>
        <v>65321</v>
      </c>
      <c r="I12" s="4">
        <f t="shared" si="0"/>
        <v>66395</v>
      </c>
      <c r="J12" s="4">
        <f t="shared" si="0"/>
        <v>64855</v>
      </c>
      <c r="K12" s="18">
        <f t="shared" si="0"/>
        <v>64329</v>
      </c>
      <c r="L12" s="6">
        <f t="shared" si="0"/>
        <v>63240</v>
      </c>
      <c r="M12" s="6">
        <f t="shared" si="0"/>
        <v>61666</v>
      </c>
      <c r="N12" s="6">
        <f t="shared" si="0"/>
        <v>59513</v>
      </c>
      <c r="O12" s="6">
        <f t="shared" si="0"/>
        <v>57825</v>
      </c>
      <c r="P12" s="6">
        <f t="shared" si="0"/>
        <v>62126</v>
      </c>
    </row>
    <row r="13" spans="2:16" ht="11.25">
      <c r="B13" s="4" t="s">
        <v>15</v>
      </c>
      <c r="C13" s="4">
        <v>47633</v>
      </c>
      <c r="D13" s="4">
        <v>48590</v>
      </c>
      <c r="E13" s="6">
        <v>58019</v>
      </c>
      <c r="F13" s="17">
        <v>55958</v>
      </c>
      <c r="G13" s="4">
        <v>48819</v>
      </c>
      <c r="H13" s="4">
        <v>48288</v>
      </c>
      <c r="I13" s="4">
        <v>49414</v>
      </c>
      <c r="J13" s="4">
        <v>47964</v>
      </c>
      <c r="K13" s="18">
        <v>48333</v>
      </c>
      <c r="L13" s="6">
        <v>46969</v>
      </c>
      <c r="M13" s="6">
        <v>45612</v>
      </c>
      <c r="N13" s="6">
        <v>43500</v>
      </c>
      <c r="O13" s="6">
        <v>41822</v>
      </c>
      <c r="P13" s="6">
        <v>45802</v>
      </c>
    </row>
    <row r="14" spans="2:16" ht="11.25">
      <c r="B14" s="4" t="s">
        <v>16</v>
      </c>
      <c r="C14" s="4">
        <v>12567</v>
      </c>
      <c r="D14" s="4">
        <v>9875</v>
      </c>
      <c r="E14" s="6">
        <v>10056</v>
      </c>
      <c r="F14" s="17">
        <v>10137</v>
      </c>
      <c r="G14" s="4">
        <v>17317</v>
      </c>
      <c r="H14" s="4">
        <v>17033</v>
      </c>
      <c r="I14" s="4">
        <v>16981</v>
      </c>
      <c r="J14" s="4">
        <v>16891</v>
      </c>
      <c r="K14" s="18">
        <v>15996</v>
      </c>
      <c r="L14" s="6">
        <v>16271</v>
      </c>
      <c r="M14" s="6">
        <v>16054</v>
      </c>
      <c r="N14" s="6">
        <v>16013</v>
      </c>
      <c r="O14" s="6">
        <v>16003</v>
      </c>
      <c r="P14" s="6">
        <v>16324</v>
      </c>
    </row>
    <row r="15" spans="1:16" ht="11.25">
      <c r="A15" s="4" t="s">
        <v>17</v>
      </c>
      <c r="C15" s="4">
        <v>37048</v>
      </c>
      <c r="D15" s="4">
        <v>47030</v>
      </c>
      <c r="E15" s="6">
        <v>48676</v>
      </c>
      <c r="F15" s="17">
        <v>51449</v>
      </c>
      <c r="G15" s="4">
        <v>55311</v>
      </c>
      <c r="H15" s="4">
        <v>56904</v>
      </c>
      <c r="I15" s="4">
        <v>56102</v>
      </c>
      <c r="J15" s="4">
        <v>61327</v>
      </c>
      <c r="K15" s="18">
        <v>63010</v>
      </c>
      <c r="L15" s="6">
        <v>63653</v>
      </c>
      <c r="M15" s="6">
        <v>38449</v>
      </c>
      <c r="N15" s="6">
        <v>40326</v>
      </c>
      <c r="O15" s="6">
        <v>37393</v>
      </c>
      <c r="P15" s="6">
        <v>32955</v>
      </c>
    </row>
    <row r="16" spans="1:16" ht="11.25">
      <c r="A16" s="4" t="s">
        <v>18</v>
      </c>
      <c r="C16" s="6">
        <f aca="true" t="shared" si="1" ref="C16:P16">C17+C21</f>
        <v>116944</v>
      </c>
      <c r="D16" s="6">
        <f t="shared" si="1"/>
        <v>114234</v>
      </c>
      <c r="E16" s="6">
        <f t="shared" si="1"/>
        <v>122274</v>
      </c>
      <c r="F16" s="17">
        <f t="shared" si="1"/>
        <v>126324</v>
      </c>
      <c r="G16" s="4">
        <f t="shared" si="1"/>
        <v>121288</v>
      </c>
      <c r="H16" s="4">
        <f t="shared" si="1"/>
        <v>125087</v>
      </c>
      <c r="I16" s="4">
        <f t="shared" si="1"/>
        <v>119724</v>
      </c>
      <c r="J16" s="4">
        <f t="shared" si="1"/>
        <v>122045</v>
      </c>
      <c r="K16" s="18">
        <f t="shared" si="1"/>
        <v>119459</v>
      </c>
      <c r="L16" s="6">
        <f t="shared" si="1"/>
        <v>127223</v>
      </c>
      <c r="M16" s="6">
        <f t="shared" si="1"/>
        <v>108801</v>
      </c>
      <c r="N16" s="6">
        <f t="shared" si="1"/>
        <v>106312</v>
      </c>
      <c r="O16" s="6">
        <f t="shared" si="1"/>
        <v>105081</v>
      </c>
      <c r="P16" s="6">
        <f t="shared" si="1"/>
        <v>106383</v>
      </c>
    </row>
    <row r="17" spans="2:16" ht="11.25">
      <c r="B17" s="4" t="s">
        <v>15</v>
      </c>
      <c r="C17" s="6">
        <f aca="true" t="shared" si="2" ref="C17:P17">SUM(C18:C20)</f>
        <v>86528</v>
      </c>
      <c r="D17" s="6">
        <f t="shared" si="2"/>
        <v>87194</v>
      </c>
      <c r="E17" s="6">
        <f t="shared" si="2"/>
        <v>98520</v>
      </c>
      <c r="F17" s="17">
        <f t="shared" si="2"/>
        <v>103295</v>
      </c>
      <c r="G17" s="4">
        <f t="shared" si="2"/>
        <v>94600</v>
      </c>
      <c r="H17" s="4">
        <f t="shared" si="2"/>
        <v>98182</v>
      </c>
      <c r="I17" s="4">
        <f t="shared" si="2"/>
        <v>93519</v>
      </c>
      <c r="J17" s="4">
        <f t="shared" si="2"/>
        <v>96465</v>
      </c>
      <c r="K17" s="18">
        <f t="shared" si="2"/>
        <v>93736</v>
      </c>
      <c r="L17" s="6">
        <f t="shared" si="2"/>
        <v>98533</v>
      </c>
      <c r="M17" s="6">
        <f t="shared" si="2"/>
        <v>80599</v>
      </c>
      <c r="N17" s="6">
        <f t="shared" si="2"/>
        <v>77643</v>
      </c>
      <c r="O17" s="6">
        <f t="shared" si="2"/>
        <v>76751</v>
      </c>
      <c r="P17" s="6">
        <f t="shared" si="2"/>
        <v>75262</v>
      </c>
    </row>
    <row r="18" spans="2:16" ht="11.25">
      <c r="B18" s="4" t="s">
        <v>19</v>
      </c>
      <c r="C18" s="4">
        <v>0</v>
      </c>
      <c r="D18" s="4">
        <v>0</v>
      </c>
      <c r="E18" s="6">
        <v>0</v>
      </c>
      <c r="F18" s="17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2:16" ht="11.25">
      <c r="B19" s="4" t="s">
        <v>20</v>
      </c>
      <c r="C19" s="4">
        <v>71827</v>
      </c>
      <c r="D19" s="4">
        <v>71946</v>
      </c>
      <c r="E19" s="6">
        <v>80769</v>
      </c>
      <c r="F19" s="17">
        <v>77367</v>
      </c>
      <c r="G19" s="4">
        <v>65091</v>
      </c>
      <c r="H19" s="4">
        <v>65656</v>
      </c>
      <c r="I19" s="4">
        <v>64007</v>
      </c>
      <c r="J19" s="4">
        <v>65869</v>
      </c>
      <c r="K19" s="18">
        <v>62571</v>
      </c>
      <c r="L19" s="6">
        <v>61958</v>
      </c>
      <c r="M19" s="6">
        <v>61202</v>
      </c>
      <c r="N19" s="6">
        <v>61186</v>
      </c>
      <c r="O19" s="6">
        <v>57858</v>
      </c>
      <c r="P19" s="6">
        <v>63296</v>
      </c>
    </row>
    <row r="20" spans="2:16" ht="11.25">
      <c r="B20" s="4" t="s">
        <v>21</v>
      </c>
      <c r="C20" s="4">
        <v>14701</v>
      </c>
      <c r="D20" s="4">
        <v>15248</v>
      </c>
      <c r="E20" s="6">
        <v>17751</v>
      </c>
      <c r="F20" s="17">
        <v>25928</v>
      </c>
      <c r="G20" s="4">
        <v>29509</v>
      </c>
      <c r="H20" s="4">
        <v>32526</v>
      </c>
      <c r="I20" s="4">
        <v>29512</v>
      </c>
      <c r="J20" s="4">
        <v>30596</v>
      </c>
      <c r="K20" s="18">
        <v>31165</v>
      </c>
      <c r="L20" s="6">
        <v>36575</v>
      </c>
      <c r="M20" s="6">
        <v>19397</v>
      </c>
      <c r="N20" s="6">
        <v>16457</v>
      </c>
      <c r="O20" s="6">
        <v>18893</v>
      </c>
      <c r="P20" s="6">
        <v>11966</v>
      </c>
    </row>
    <row r="21" spans="2:16" ht="11.25">
      <c r="B21" s="4" t="s">
        <v>16</v>
      </c>
      <c r="C21" s="4">
        <f>SUM(C22:C24)</f>
        <v>30416</v>
      </c>
      <c r="D21" s="6">
        <f aca="true" t="shared" si="3" ref="D21:P21">SUM(D23:D24)</f>
        <v>27040</v>
      </c>
      <c r="E21" s="6">
        <f t="shared" si="3"/>
        <v>23754</v>
      </c>
      <c r="F21" s="17">
        <f t="shared" si="3"/>
        <v>23029</v>
      </c>
      <c r="G21" s="4">
        <f t="shared" si="3"/>
        <v>26688</v>
      </c>
      <c r="H21" s="4">
        <f t="shared" si="3"/>
        <v>26905</v>
      </c>
      <c r="I21" s="4">
        <f t="shared" si="3"/>
        <v>26205</v>
      </c>
      <c r="J21" s="4">
        <f t="shared" si="3"/>
        <v>25580</v>
      </c>
      <c r="K21" s="18">
        <f t="shared" si="3"/>
        <v>25723</v>
      </c>
      <c r="L21" s="6">
        <f t="shared" si="3"/>
        <v>28690</v>
      </c>
      <c r="M21" s="6">
        <f t="shared" si="3"/>
        <v>28202</v>
      </c>
      <c r="N21" s="6">
        <f t="shared" si="3"/>
        <v>28669</v>
      </c>
      <c r="O21" s="6">
        <f t="shared" si="3"/>
        <v>28330</v>
      </c>
      <c r="P21" s="6">
        <f t="shared" si="3"/>
        <v>31121</v>
      </c>
    </row>
    <row r="22" spans="2:16" ht="11.25">
      <c r="B22" s="4" t="s">
        <v>19</v>
      </c>
      <c r="C22" s="4">
        <v>0</v>
      </c>
      <c r="D22" s="6">
        <v>0</v>
      </c>
      <c r="E22" s="6">
        <v>0</v>
      </c>
      <c r="F22" s="17">
        <v>0</v>
      </c>
      <c r="G22" s="4">
        <v>0</v>
      </c>
      <c r="H22" s="4">
        <v>0</v>
      </c>
      <c r="I22" s="4">
        <v>0</v>
      </c>
      <c r="J22" s="4">
        <v>0</v>
      </c>
      <c r="K22" s="18">
        <v>0</v>
      </c>
      <c r="L22" s="6">
        <v>0</v>
      </c>
      <c r="M22" s="6">
        <v>0</v>
      </c>
      <c r="N22" s="6">
        <v>0</v>
      </c>
      <c r="O22" s="6"/>
      <c r="P22" s="6"/>
    </row>
    <row r="23" spans="2:16" ht="11.25">
      <c r="B23" s="4" t="s">
        <v>20</v>
      </c>
      <c r="C23" s="4">
        <v>30416</v>
      </c>
      <c r="D23" s="4">
        <v>27040</v>
      </c>
      <c r="E23" s="6">
        <v>23754</v>
      </c>
      <c r="F23" s="17">
        <v>23029</v>
      </c>
      <c r="G23" s="4">
        <v>26688</v>
      </c>
      <c r="H23" s="4">
        <v>26905</v>
      </c>
      <c r="I23" s="4">
        <v>26205</v>
      </c>
      <c r="J23" s="4">
        <v>25580</v>
      </c>
      <c r="K23" s="18">
        <v>25723</v>
      </c>
      <c r="L23" s="6">
        <v>28690</v>
      </c>
      <c r="M23" s="6">
        <v>28202</v>
      </c>
      <c r="N23" s="6">
        <v>28669</v>
      </c>
      <c r="O23" s="6">
        <v>28330</v>
      </c>
      <c r="P23" s="6">
        <v>31121</v>
      </c>
    </row>
    <row r="24" spans="2:16" ht="11.25">
      <c r="B24" s="4" t="s">
        <v>21</v>
      </c>
      <c r="C24" s="4">
        <v>0</v>
      </c>
      <c r="D24" s="4">
        <v>0</v>
      </c>
      <c r="E24" s="6">
        <v>0</v>
      </c>
      <c r="F24" s="17">
        <v>0</v>
      </c>
      <c r="G24" s="4">
        <v>0</v>
      </c>
      <c r="H24" s="4">
        <v>0</v>
      </c>
      <c r="I24" s="4">
        <v>0</v>
      </c>
      <c r="J24" s="4">
        <v>0</v>
      </c>
      <c r="K24" s="18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1.25">
      <c r="A25" s="5" t="s">
        <v>22</v>
      </c>
      <c r="B25" s="5"/>
      <c r="C25" s="5">
        <v>15607</v>
      </c>
      <c r="D25" s="5">
        <v>15212</v>
      </c>
      <c r="E25" s="5">
        <v>15098</v>
      </c>
      <c r="F25" s="19">
        <v>14998</v>
      </c>
      <c r="G25" s="5">
        <v>15557</v>
      </c>
      <c r="H25" s="5">
        <v>15152</v>
      </c>
      <c r="I25" s="5">
        <v>14892</v>
      </c>
      <c r="J25" s="5">
        <v>14515</v>
      </c>
      <c r="K25" s="20">
        <v>15349</v>
      </c>
      <c r="L25" s="5">
        <v>14877</v>
      </c>
      <c r="M25" s="5">
        <v>14255</v>
      </c>
      <c r="N25" s="5">
        <v>14003</v>
      </c>
      <c r="O25" s="5">
        <v>13272</v>
      </c>
      <c r="P25" s="5">
        <v>12052</v>
      </c>
    </row>
    <row r="26" spans="1:16" ht="11.25">
      <c r="A26" s="13" t="s">
        <v>23</v>
      </c>
      <c r="E26" s="6"/>
      <c r="F26" s="17"/>
      <c r="K26" s="18"/>
      <c r="L26" s="6"/>
      <c r="M26" s="6"/>
      <c r="N26" s="6"/>
      <c r="O26" s="6"/>
      <c r="P26" s="6"/>
    </row>
    <row r="27" spans="1:16" ht="11.25">
      <c r="A27" s="4" t="s">
        <v>12</v>
      </c>
      <c r="C27" s="6">
        <f aca="true" t="shared" si="4" ref="C27:I27">(C10+G10)/2</f>
        <v>142816</v>
      </c>
      <c r="D27" s="6">
        <f t="shared" si="4"/>
        <v>143736</v>
      </c>
      <c r="E27" s="6">
        <f t="shared" si="4"/>
        <v>145603.5</v>
      </c>
      <c r="F27" s="17">
        <f t="shared" si="4"/>
        <v>149746.5</v>
      </c>
      <c r="G27" s="4">
        <f t="shared" si="4"/>
        <v>147580</v>
      </c>
      <c r="H27" s="4">
        <f t="shared" si="4"/>
        <v>154066.5</v>
      </c>
      <c r="I27" s="4">
        <f t="shared" si="4"/>
        <v>141052</v>
      </c>
      <c r="J27" s="4">
        <f>+(J10+N10)/2</f>
        <v>144646.5</v>
      </c>
      <c r="K27" s="18">
        <f>+(K10+O10)/2</f>
        <v>141814.5</v>
      </c>
      <c r="L27" s="6">
        <v>140856</v>
      </c>
      <c r="M27" s="6">
        <v>130091</v>
      </c>
      <c r="N27" s="6">
        <v>131524</v>
      </c>
      <c r="O27" s="6">
        <f>(O10+P10)/2</f>
        <v>132514.5</v>
      </c>
      <c r="P27" s="6">
        <f>(P10+127770)/2</f>
        <v>129370.5</v>
      </c>
    </row>
    <row r="28" spans="1:16" ht="11.25">
      <c r="A28" s="4" t="s">
        <v>24</v>
      </c>
      <c r="C28" s="6">
        <f aca="true" t="shared" si="5" ref="C28:P28">C29+C30</f>
        <v>109347.5</v>
      </c>
      <c r="D28" s="6">
        <f t="shared" si="5"/>
        <v>113860</v>
      </c>
      <c r="E28" s="6">
        <f t="shared" si="5"/>
        <v>119624</v>
      </c>
      <c r="F28" s="17">
        <f t="shared" si="5"/>
        <v>121863</v>
      </c>
      <c r="G28" s="4">
        <f t="shared" si="5"/>
        <v>124393</v>
      </c>
      <c r="H28" s="4">
        <f t="shared" si="5"/>
        <v>124559</v>
      </c>
      <c r="I28" s="4">
        <f t="shared" si="5"/>
        <v>111306</v>
      </c>
      <c r="J28" s="4">
        <f t="shared" si="5"/>
        <v>113010.5</v>
      </c>
      <c r="K28" s="18">
        <f t="shared" si="5"/>
        <v>111278.5</v>
      </c>
      <c r="L28" s="6">
        <f t="shared" si="5"/>
        <v>106588</v>
      </c>
      <c r="M28" s="6">
        <f t="shared" si="5"/>
        <v>92551</v>
      </c>
      <c r="N28" s="6">
        <f t="shared" si="5"/>
        <v>96094</v>
      </c>
      <c r="O28" s="6">
        <f t="shared" si="5"/>
        <v>95149.5</v>
      </c>
      <c r="P28" s="6">
        <f t="shared" si="5"/>
        <v>88856</v>
      </c>
    </row>
    <row r="29" spans="2:16" ht="11.25">
      <c r="B29" s="4" t="s">
        <v>14</v>
      </c>
      <c r="C29" s="6">
        <f aca="true" t="shared" si="6" ref="C29:I29">(C12+G12)/2</f>
        <v>63168</v>
      </c>
      <c r="D29" s="6">
        <f t="shared" si="6"/>
        <v>61893</v>
      </c>
      <c r="E29" s="6">
        <f t="shared" si="6"/>
        <v>67235</v>
      </c>
      <c r="F29" s="17">
        <f t="shared" si="6"/>
        <v>65475</v>
      </c>
      <c r="G29" s="4">
        <f t="shared" si="6"/>
        <v>65232.5</v>
      </c>
      <c r="H29" s="4">
        <f t="shared" si="6"/>
        <v>64280.5</v>
      </c>
      <c r="I29" s="4">
        <f t="shared" si="6"/>
        <v>64030.5</v>
      </c>
      <c r="J29" s="4">
        <f>+(J12+N12)/2</f>
        <v>62184</v>
      </c>
      <c r="K29" s="18">
        <f>+(K12+O12)/2</f>
        <v>61077</v>
      </c>
      <c r="L29" s="6">
        <v>57977</v>
      </c>
      <c r="M29" s="6">
        <v>57011</v>
      </c>
      <c r="N29" s="6">
        <v>59951</v>
      </c>
      <c r="O29" s="6">
        <f>(O12+P12)/2</f>
        <v>59975.5</v>
      </c>
      <c r="P29" s="6">
        <f>(P12+63764)/2</f>
        <v>62945</v>
      </c>
    </row>
    <row r="30" spans="2:16" ht="11.25">
      <c r="B30" s="4" t="s">
        <v>17</v>
      </c>
      <c r="C30" s="6">
        <f aca="true" t="shared" si="7" ref="C30:I30">(C15+G15)/2</f>
        <v>46179.5</v>
      </c>
      <c r="D30" s="6">
        <f t="shared" si="7"/>
        <v>51967</v>
      </c>
      <c r="E30" s="6">
        <f t="shared" si="7"/>
        <v>52389</v>
      </c>
      <c r="F30" s="17">
        <f t="shared" si="7"/>
        <v>56388</v>
      </c>
      <c r="G30" s="4">
        <f t="shared" si="7"/>
        <v>59160.5</v>
      </c>
      <c r="H30" s="4">
        <f t="shared" si="7"/>
        <v>60278.5</v>
      </c>
      <c r="I30" s="4">
        <f t="shared" si="7"/>
        <v>47275.5</v>
      </c>
      <c r="J30" s="4">
        <f>+(J15+N15)/2</f>
        <v>50826.5</v>
      </c>
      <c r="K30" s="18">
        <f>+(K15+O15)/2</f>
        <v>50201.5</v>
      </c>
      <c r="L30" s="6">
        <v>48611</v>
      </c>
      <c r="M30" s="6">
        <v>35540</v>
      </c>
      <c r="N30" s="6">
        <v>36143</v>
      </c>
      <c r="O30" s="6">
        <f>(O15+P15)/2</f>
        <v>35174</v>
      </c>
      <c r="P30" s="6">
        <f>(P15+18867)/2</f>
        <v>25911</v>
      </c>
    </row>
    <row r="31" spans="1:16" ht="11.25">
      <c r="A31" s="5" t="s">
        <v>22</v>
      </c>
      <c r="B31" s="5"/>
      <c r="C31" s="5">
        <f aca="true" t="shared" si="8" ref="C31:I31">(C25+G25)/2</f>
        <v>15582</v>
      </c>
      <c r="D31" s="5">
        <f t="shared" si="8"/>
        <v>15182</v>
      </c>
      <c r="E31" s="5">
        <f t="shared" si="8"/>
        <v>14995</v>
      </c>
      <c r="F31" s="19">
        <f t="shared" si="8"/>
        <v>14756.5</v>
      </c>
      <c r="G31" s="5">
        <f t="shared" si="8"/>
        <v>15453</v>
      </c>
      <c r="H31" s="5">
        <f t="shared" si="8"/>
        <v>15014.5</v>
      </c>
      <c r="I31" s="5">
        <f t="shared" si="8"/>
        <v>14573.5</v>
      </c>
      <c r="J31" s="5">
        <f>+(J25+N25)/2</f>
        <v>14259</v>
      </c>
      <c r="K31" s="20">
        <f>+(K25+O25)/2</f>
        <v>14310.5</v>
      </c>
      <c r="L31" s="5">
        <v>14022</v>
      </c>
      <c r="M31" s="5">
        <v>13510</v>
      </c>
      <c r="N31" s="5">
        <v>13060</v>
      </c>
      <c r="O31" s="5">
        <f>(O25+P25)/2</f>
        <v>12662</v>
      </c>
      <c r="P31" s="5">
        <f>(P25+10167)/2</f>
        <v>11109.5</v>
      </c>
    </row>
    <row r="32" spans="1:16" ht="11.25">
      <c r="A32" s="13" t="s">
        <v>25</v>
      </c>
      <c r="E32" s="6"/>
      <c r="F32" s="17"/>
      <c r="K32" s="18"/>
      <c r="L32" s="6"/>
      <c r="M32" s="6"/>
      <c r="N32" s="6"/>
      <c r="O32" s="6"/>
      <c r="P32" s="6"/>
    </row>
    <row r="33" spans="1:16" ht="11.25">
      <c r="A33" s="4" t="s">
        <v>26</v>
      </c>
      <c r="C33" s="4">
        <v>9229</v>
      </c>
      <c r="D33" s="4">
        <v>7085</v>
      </c>
      <c r="E33" s="6">
        <v>5072</v>
      </c>
      <c r="F33" s="17">
        <v>2458</v>
      </c>
      <c r="G33" s="4">
        <v>11732</v>
      </c>
      <c r="H33" s="4">
        <v>8837</v>
      </c>
      <c r="I33" s="4">
        <v>5937</v>
      </c>
      <c r="J33" s="4">
        <v>2942</v>
      </c>
      <c r="K33" s="18">
        <v>10972</v>
      </c>
      <c r="L33" s="6">
        <v>7903</v>
      </c>
      <c r="M33" s="6">
        <v>5003</v>
      </c>
      <c r="N33" s="6">
        <v>2567</v>
      </c>
      <c r="O33" s="6">
        <v>9758</v>
      </c>
      <c r="P33" s="6">
        <v>10633</v>
      </c>
    </row>
    <row r="34" spans="1:16" ht="11.25">
      <c r="A34" s="4" t="s">
        <v>27</v>
      </c>
      <c r="C34" s="4">
        <v>7037</v>
      </c>
      <c r="D34" s="4">
        <v>5554</v>
      </c>
      <c r="E34" s="6">
        <v>3845</v>
      </c>
      <c r="F34" s="17">
        <v>1936</v>
      </c>
      <c r="G34" s="4">
        <v>8750</v>
      </c>
      <c r="H34" s="4">
        <v>6596</v>
      </c>
      <c r="I34" s="4">
        <v>4360</v>
      </c>
      <c r="J34" s="4">
        <v>2199</v>
      </c>
      <c r="K34" s="18">
        <v>8051</v>
      </c>
      <c r="L34" s="6">
        <v>5698</v>
      </c>
      <c r="M34" s="6">
        <v>3683</v>
      </c>
      <c r="N34" s="6">
        <v>1792</v>
      </c>
      <c r="O34" s="6">
        <v>7228</v>
      </c>
      <c r="P34" s="6">
        <v>7971</v>
      </c>
    </row>
    <row r="35" spans="1:16" ht="11.25">
      <c r="A35" s="4" t="s">
        <v>28</v>
      </c>
      <c r="C35" s="6">
        <f>+C33-C34</f>
        <v>2192</v>
      </c>
      <c r="D35" s="6">
        <f>+D33-D34</f>
        <v>1531</v>
      </c>
      <c r="E35" s="6">
        <f>+E33-E34</f>
        <v>1227</v>
      </c>
      <c r="F35" s="17">
        <f>+F33-F34</f>
        <v>522</v>
      </c>
      <c r="G35" s="4">
        <f aca="true" t="shared" si="9" ref="G35:P35">G33-G34</f>
        <v>2982</v>
      </c>
      <c r="H35" s="4">
        <f t="shared" si="9"/>
        <v>2241</v>
      </c>
      <c r="I35" s="4">
        <f t="shared" si="9"/>
        <v>1577</v>
      </c>
      <c r="J35" s="4">
        <f t="shared" si="9"/>
        <v>743</v>
      </c>
      <c r="K35" s="18">
        <f t="shared" si="9"/>
        <v>2921</v>
      </c>
      <c r="L35" s="6">
        <f t="shared" si="9"/>
        <v>2205</v>
      </c>
      <c r="M35" s="6">
        <f t="shared" si="9"/>
        <v>1320</v>
      </c>
      <c r="N35" s="6">
        <f t="shared" si="9"/>
        <v>775</v>
      </c>
      <c r="O35" s="6">
        <f t="shared" si="9"/>
        <v>2530</v>
      </c>
      <c r="P35" s="6">
        <f t="shared" si="9"/>
        <v>2662</v>
      </c>
    </row>
    <row r="36" spans="1:16" ht="11.25">
      <c r="A36" s="4" t="s">
        <v>29</v>
      </c>
      <c r="C36" s="4">
        <v>4442</v>
      </c>
      <c r="D36" s="4">
        <v>1856</v>
      </c>
      <c r="E36" s="6">
        <v>1505</v>
      </c>
      <c r="F36" s="17">
        <v>291</v>
      </c>
      <c r="G36" s="4">
        <v>4869</v>
      </c>
      <c r="H36" s="4">
        <v>2442</v>
      </c>
      <c r="I36" s="4">
        <v>1479</v>
      </c>
      <c r="J36" s="4">
        <v>177</v>
      </c>
      <c r="K36" s="18">
        <v>837</v>
      </c>
      <c r="L36" s="6">
        <v>488</v>
      </c>
      <c r="M36" s="6">
        <v>378</v>
      </c>
      <c r="N36" s="6">
        <v>225</v>
      </c>
      <c r="O36" s="6">
        <v>479</v>
      </c>
      <c r="P36" s="6">
        <v>459</v>
      </c>
    </row>
    <row r="37" spans="1:16" ht="11.25">
      <c r="A37" s="4" t="s">
        <v>30</v>
      </c>
      <c r="C37" s="6">
        <f>+C36+C35</f>
        <v>6634</v>
      </c>
      <c r="D37" s="6">
        <f>+D36+D35</f>
        <v>3387</v>
      </c>
      <c r="E37" s="6">
        <f>+E36+E35</f>
        <v>2732</v>
      </c>
      <c r="F37" s="17">
        <f>+F36+F35</f>
        <v>813</v>
      </c>
      <c r="G37" s="4">
        <f aca="true" t="shared" si="10" ref="G37:P37">G35+G36</f>
        <v>7851</v>
      </c>
      <c r="H37" s="4">
        <f t="shared" si="10"/>
        <v>4683</v>
      </c>
      <c r="I37" s="4">
        <f t="shared" si="10"/>
        <v>3056</v>
      </c>
      <c r="J37" s="4">
        <f t="shared" si="10"/>
        <v>920</v>
      </c>
      <c r="K37" s="18">
        <f t="shared" si="10"/>
        <v>3758</v>
      </c>
      <c r="L37" s="6">
        <f t="shared" si="10"/>
        <v>2693</v>
      </c>
      <c r="M37" s="6">
        <f t="shared" si="10"/>
        <v>1698</v>
      </c>
      <c r="N37" s="6">
        <f t="shared" si="10"/>
        <v>1000</v>
      </c>
      <c r="O37" s="6">
        <f t="shared" si="10"/>
        <v>3009</v>
      </c>
      <c r="P37" s="6">
        <f t="shared" si="10"/>
        <v>3121</v>
      </c>
    </row>
    <row r="38" spans="1:16" ht="11.25">
      <c r="A38" s="4" t="s">
        <v>31</v>
      </c>
      <c r="C38" s="4">
        <v>5012</v>
      </c>
      <c r="D38" s="4">
        <v>2633</v>
      </c>
      <c r="E38" s="6">
        <v>2138</v>
      </c>
      <c r="F38" s="17">
        <v>386</v>
      </c>
      <c r="G38" s="4">
        <v>5271</v>
      </c>
      <c r="H38" s="4">
        <v>2614</v>
      </c>
      <c r="I38" s="4">
        <v>1353</v>
      </c>
      <c r="J38" s="4">
        <v>360</v>
      </c>
      <c r="K38" s="18">
        <v>1468</v>
      </c>
      <c r="L38" s="6">
        <v>1001</v>
      </c>
      <c r="M38" s="6">
        <v>651</v>
      </c>
      <c r="N38" s="6">
        <v>276</v>
      </c>
      <c r="O38" s="6">
        <v>1050</v>
      </c>
      <c r="P38" s="6">
        <v>1009</v>
      </c>
    </row>
    <row r="39" spans="1:16" ht="11.25">
      <c r="A39" s="4" t="s">
        <v>32</v>
      </c>
      <c r="C39" s="6">
        <f>+C37-C38</f>
        <v>1622</v>
      </c>
      <c r="D39" s="6">
        <f>+D37-D38</f>
        <v>754</v>
      </c>
      <c r="E39" s="6">
        <f>+E37-E38</f>
        <v>594</v>
      </c>
      <c r="F39" s="17">
        <f>+F37-F38</f>
        <v>427</v>
      </c>
      <c r="G39" s="4">
        <f aca="true" t="shared" si="11" ref="G39:P39">G37-G38</f>
        <v>2580</v>
      </c>
      <c r="H39" s="4">
        <f t="shared" si="11"/>
        <v>2069</v>
      </c>
      <c r="I39" s="4">
        <f t="shared" si="11"/>
        <v>1703</v>
      </c>
      <c r="J39" s="4">
        <f t="shared" si="11"/>
        <v>560</v>
      </c>
      <c r="K39" s="18">
        <f t="shared" si="11"/>
        <v>2290</v>
      </c>
      <c r="L39" s="6">
        <f t="shared" si="11"/>
        <v>1692</v>
      </c>
      <c r="M39" s="6">
        <f t="shared" si="11"/>
        <v>1047</v>
      </c>
      <c r="N39" s="6">
        <f t="shared" si="11"/>
        <v>724</v>
      </c>
      <c r="O39" s="6">
        <f t="shared" si="11"/>
        <v>1959</v>
      </c>
      <c r="P39" s="6">
        <f t="shared" si="11"/>
        <v>2112</v>
      </c>
    </row>
    <row r="40" spans="1:16" ht="11.25">
      <c r="A40" s="5" t="s">
        <v>33</v>
      </c>
      <c r="B40" s="5"/>
      <c r="C40" s="5">
        <v>1207</v>
      </c>
      <c r="D40" s="5">
        <v>613</v>
      </c>
      <c r="E40" s="5">
        <v>500</v>
      </c>
      <c r="F40" s="19">
        <f>+F39-50</f>
        <v>377</v>
      </c>
      <c r="G40" s="5">
        <v>2278</v>
      </c>
      <c r="H40" s="5">
        <v>1873</v>
      </c>
      <c r="I40" s="5">
        <v>1613</v>
      </c>
      <c r="J40" s="5">
        <v>515</v>
      </c>
      <c r="K40" s="20">
        <v>2100</v>
      </c>
      <c r="L40" s="5">
        <v>1632</v>
      </c>
      <c r="M40" s="5">
        <v>1017</v>
      </c>
      <c r="N40" s="5">
        <v>709</v>
      </c>
      <c r="O40" s="5">
        <v>1899</v>
      </c>
      <c r="P40" s="5">
        <v>2052</v>
      </c>
    </row>
    <row r="41" spans="1:16" ht="11.25">
      <c r="A41" s="13" t="s">
        <v>34</v>
      </c>
      <c r="E41" s="6"/>
      <c r="F41" s="17"/>
      <c r="K41" s="18"/>
      <c r="L41" s="6"/>
      <c r="M41" s="6"/>
      <c r="N41" s="6"/>
      <c r="O41" s="6"/>
      <c r="P41" s="6"/>
    </row>
    <row r="42" spans="1:16" ht="11.25">
      <c r="A42" s="4" t="s">
        <v>35</v>
      </c>
      <c r="C42" s="4">
        <v>5849</v>
      </c>
      <c r="D42" s="4">
        <v>4198</v>
      </c>
      <c r="E42" s="6">
        <v>4151</v>
      </c>
      <c r="F42" s="17">
        <v>5512</v>
      </c>
      <c r="G42" s="4">
        <v>2344</v>
      </c>
      <c r="H42" s="4">
        <v>2651</v>
      </c>
      <c r="I42" s="4">
        <v>1886</v>
      </c>
      <c r="J42" s="4">
        <v>1891</v>
      </c>
      <c r="K42" s="18">
        <v>2021</v>
      </c>
      <c r="L42" s="6">
        <v>1116</v>
      </c>
      <c r="M42" s="6">
        <v>1355</v>
      </c>
      <c r="N42" s="6">
        <v>1464</v>
      </c>
      <c r="O42" s="6">
        <v>1575</v>
      </c>
      <c r="P42" s="6">
        <v>815</v>
      </c>
    </row>
    <row r="43" spans="1:16" ht="11.25">
      <c r="A43" s="4" t="s">
        <v>36</v>
      </c>
      <c r="C43" s="4">
        <v>1589</v>
      </c>
      <c r="D43" s="4">
        <v>1444</v>
      </c>
      <c r="E43" s="6">
        <v>1429</v>
      </c>
      <c r="F43" s="17">
        <v>1448</v>
      </c>
      <c r="G43" s="4">
        <v>1096</v>
      </c>
      <c r="H43" s="4">
        <v>1038</v>
      </c>
      <c r="I43" s="4">
        <v>944</v>
      </c>
      <c r="J43" s="4">
        <v>899</v>
      </c>
      <c r="K43" s="18">
        <v>854</v>
      </c>
      <c r="L43" s="6">
        <v>735</v>
      </c>
      <c r="M43" s="6">
        <v>705</v>
      </c>
      <c r="N43" s="6">
        <v>690</v>
      </c>
      <c r="O43" s="6">
        <v>675</v>
      </c>
      <c r="P43" s="6">
        <v>623</v>
      </c>
    </row>
    <row r="44" spans="1:16" ht="11.25">
      <c r="A44" s="4" t="s">
        <v>37</v>
      </c>
      <c r="C44" s="21">
        <f aca="true" t="shared" si="12" ref="C44:P44">C42/C12</f>
        <v>0.0971594684385382</v>
      </c>
      <c r="D44" s="21">
        <f t="shared" si="12"/>
        <v>0.07180364320533653</v>
      </c>
      <c r="E44" s="21">
        <f t="shared" si="12"/>
        <v>0.060976863753213366</v>
      </c>
      <c r="F44" s="22">
        <f t="shared" si="12"/>
        <v>0.08339511309478781</v>
      </c>
      <c r="G44" s="23">
        <f t="shared" si="12"/>
        <v>0.0354421192693843</v>
      </c>
      <c r="H44" s="23">
        <f t="shared" si="12"/>
        <v>0.04058419191377964</v>
      </c>
      <c r="I44" s="23">
        <f t="shared" si="12"/>
        <v>0.028405753445289554</v>
      </c>
      <c r="J44" s="23">
        <f t="shared" si="12"/>
        <v>0.029157351013800015</v>
      </c>
      <c r="K44" s="24">
        <f t="shared" si="12"/>
        <v>0.03141662391767321</v>
      </c>
      <c r="L44" s="21">
        <f t="shared" si="12"/>
        <v>0.01764705882352941</v>
      </c>
      <c r="M44" s="21">
        <f t="shared" si="12"/>
        <v>0.021973210521194823</v>
      </c>
      <c r="N44" s="21">
        <f t="shared" si="12"/>
        <v>0.024599667299581605</v>
      </c>
      <c r="O44" s="6">
        <f t="shared" si="12"/>
        <v>0.027237354085603113</v>
      </c>
      <c r="P44" s="6">
        <f t="shared" si="12"/>
        <v>0.013118501110646106</v>
      </c>
    </row>
    <row r="45" spans="1:16" ht="11.25">
      <c r="A45" s="4" t="s">
        <v>38</v>
      </c>
      <c r="C45" s="21">
        <f aca="true" t="shared" si="13" ref="C45:P45">C43/C42</f>
        <v>0.27167037100359037</v>
      </c>
      <c r="D45" s="21">
        <f t="shared" si="13"/>
        <v>0.34397332062887087</v>
      </c>
      <c r="E45" s="21">
        <f t="shared" si="13"/>
        <v>0.3442543965309564</v>
      </c>
      <c r="F45" s="22">
        <f t="shared" si="13"/>
        <v>0.262699564586357</v>
      </c>
      <c r="G45" s="23">
        <f t="shared" si="13"/>
        <v>0.46757679180887374</v>
      </c>
      <c r="H45" s="23">
        <f t="shared" si="13"/>
        <v>0.39155035835533764</v>
      </c>
      <c r="I45" s="23">
        <f t="shared" si="13"/>
        <v>0.5005302226935313</v>
      </c>
      <c r="J45" s="23">
        <f t="shared" si="13"/>
        <v>0.47540983606557374</v>
      </c>
      <c r="K45" s="24">
        <f t="shared" si="13"/>
        <v>0.4225630875804057</v>
      </c>
      <c r="L45" s="21">
        <f t="shared" si="13"/>
        <v>0.6586021505376344</v>
      </c>
      <c r="M45" s="21">
        <f t="shared" si="13"/>
        <v>0.5202952029520295</v>
      </c>
      <c r="N45" s="21">
        <f t="shared" si="13"/>
        <v>0.4713114754098361</v>
      </c>
      <c r="O45" s="6">
        <f t="shared" si="13"/>
        <v>0.42857142857142855</v>
      </c>
      <c r="P45" s="6">
        <f t="shared" si="13"/>
        <v>0.7644171779141105</v>
      </c>
    </row>
    <row r="46" spans="1:16" ht="11.25">
      <c r="A46" s="5" t="s">
        <v>39</v>
      </c>
      <c r="B46" s="5"/>
      <c r="C46" s="25">
        <f aca="true" t="shared" si="14" ref="C46:P46">C43/C12</f>
        <v>0.0263953488372093</v>
      </c>
      <c r="D46" s="25">
        <f t="shared" si="14"/>
        <v>0.02469853758659027</v>
      </c>
      <c r="E46" s="25">
        <f t="shared" si="14"/>
        <v>0.020991553433712815</v>
      </c>
      <c r="F46" s="26">
        <f t="shared" si="14"/>
        <v>0.02190785989863076</v>
      </c>
      <c r="G46" s="25">
        <f t="shared" si="14"/>
        <v>0.016571912422886175</v>
      </c>
      <c r="H46" s="25">
        <f t="shared" si="14"/>
        <v>0.015890754887402214</v>
      </c>
      <c r="I46" s="25">
        <f t="shared" si="14"/>
        <v>0.014217938097748324</v>
      </c>
      <c r="J46" s="25">
        <f t="shared" si="14"/>
        <v>0.013861691465577057</v>
      </c>
      <c r="K46" s="27">
        <f t="shared" si="14"/>
        <v>0.013275505604004414</v>
      </c>
      <c r="L46" s="25">
        <f t="shared" si="14"/>
        <v>0.011622390891840606</v>
      </c>
      <c r="M46" s="25">
        <f t="shared" si="14"/>
        <v>0.011432556027632731</v>
      </c>
      <c r="N46" s="25">
        <f t="shared" si="14"/>
        <v>0.011594105489556904</v>
      </c>
      <c r="O46" s="5">
        <f t="shared" si="14"/>
        <v>0.011673151750972763</v>
      </c>
      <c r="P46" s="5">
        <f t="shared" si="14"/>
        <v>0.01002800759746322</v>
      </c>
    </row>
    <row r="47" spans="1:18" ht="11.25">
      <c r="A47" s="13" t="s">
        <v>40</v>
      </c>
      <c r="C47" s="23"/>
      <c r="D47" s="23"/>
      <c r="E47" s="21"/>
      <c r="F47" s="22"/>
      <c r="G47" s="23"/>
      <c r="H47" s="23"/>
      <c r="I47" s="23"/>
      <c r="J47" s="23"/>
      <c r="K47" s="24"/>
      <c r="L47" s="21"/>
      <c r="M47" s="21"/>
      <c r="N47" s="21"/>
      <c r="O47" s="21"/>
      <c r="P47" s="21"/>
      <c r="Q47" s="23"/>
      <c r="R47" s="23"/>
    </row>
    <row r="48" spans="1:18" ht="11.25">
      <c r="A48" s="4" t="s">
        <v>41</v>
      </c>
      <c r="C48" s="21">
        <f aca="true" t="shared" si="15" ref="C48:P48">C25/(C12+C15)</f>
        <v>0.16048659098387627</v>
      </c>
      <c r="D48" s="21">
        <f t="shared" si="15"/>
        <v>0.1441964074126736</v>
      </c>
      <c r="E48" s="21">
        <f t="shared" si="15"/>
        <v>0.12931795016745037</v>
      </c>
      <c r="F48" s="22">
        <f t="shared" si="15"/>
        <v>0.12759477302116654</v>
      </c>
      <c r="G48" s="23">
        <f t="shared" si="15"/>
        <v>0.12809702998015596</v>
      </c>
      <c r="H48" s="23">
        <f t="shared" si="15"/>
        <v>0.12396809163428103</v>
      </c>
      <c r="I48" s="23">
        <f t="shared" si="15"/>
        <v>0.1215703241712042</v>
      </c>
      <c r="J48" s="23">
        <f t="shared" si="15"/>
        <v>0.11503225499675072</v>
      </c>
      <c r="K48" s="24">
        <f t="shared" si="15"/>
        <v>0.12053652062604543</v>
      </c>
      <c r="L48" s="21">
        <f t="shared" si="15"/>
        <v>0.11724050972078838</v>
      </c>
      <c r="M48" s="21">
        <f t="shared" si="15"/>
        <v>0.14238625580582331</v>
      </c>
      <c r="N48" s="21">
        <f t="shared" si="15"/>
        <v>0.1402558118570899</v>
      </c>
      <c r="O48" s="21">
        <f t="shared" si="15"/>
        <v>0.13938541032157786</v>
      </c>
      <c r="P48" s="21">
        <f t="shared" si="15"/>
        <v>0.12675508250859793</v>
      </c>
      <c r="Q48" s="23"/>
      <c r="R48" s="23"/>
    </row>
    <row r="49" spans="1:18" ht="11.25">
      <c r="A49" s="5" t="s">
        <v>42</v>
      </c>
      <c r="B49" s="5"/>
      <c r="C49" s="25">
        <f aca="true" t="shared" si="16" ref="C49:P49">C25/C12</f>
        <v>0.25925249169435216</v>
      </c>
      <c r="D49" s="25">
        <f t="shared" si="16"/>
        <v>0.2601898571795091</v>
      </c>
      <c r="E49" s="25">
        <f t="shared" si="16"/>
        <v>0.22178479618068306</v>
      </c>
      <c r="F49" s="26">
        <f t="shared" si="16"/>
        <v>0.22691580301081776</v>
      </c>
      <c r="G49" s="25">
        <f t="shared" si="16"/>
        <v>0.23522741018507318</v>
      </c>
      <c r="H49" s="25">
        <f t="shared" si="16"/>
        <v>0.2319621561213086</v>
      </c>
      <c r="I49" s="25">
        <f t="shared" si="16"/>
        <v>0.22429399804202124</v>
      </c>
      <c r="J49" s="25">
        <f t="shared" si="16"/>
        <v>0.22380695397425024</v>
      </c>
      <c r="K49" s="27">
        <f t="shared" si="16"/>
        <v>0.23860156383590606</v>
      </c>
      <c r="L49" s="25">
        <f t="shared" si="16"/>
        <v>0.23524667931688806</v>
      </c>
      <c r="M49" s="25">
        <f t="shared" si="16"/>
        <v>0.23116466123958096</v>
      </c>
      <c r="N49" s="25">
        <f t="shared" si="16"/>
        <v>0.23529312923226858</v>
      </c>
      <c r="O49" s="25">
        <f t="shared" si="16"/>
        <v>0.2295201037613489</v>
      </c>
      <c r="P49" s="25">
        <f t="shared" si="16"/>
        <v>0.19399285323375076</v>
      </c>
      <c r="Q49" s="23"/>
      <c r="R49" s="23"/>
    </row>
    <row r="50" spans="1:18" ht="11.25">
      <c r="A50" s="13" t="s">
        <v>43</v>
      </c>
      <c r="C50" s="23"/>
      <c r="D50" s="21"/>
      <c r="E50" s="21"/>
      <c r="F50" s="22"/>
      <c r="G50" s="23"/>
      <c r="H50" s="23"/>
      <c r="I50" s="23"/>
      <c r="J50" s="23"/>
      <c r="K50" s="24"/>
      <c r="L50" s="21"/>
      <c r="M50" s="21"/>
      <c r="N50" s="21"/>
      <c r="O50" s="21"/>
      <c r="P50" s="21"/>
      <c r="Q50" s="23"/>
      <c r="R50" s="23"/>
    </row>
    <row r="51" spans="1:18" ht="11.25">
      <c r="A51" s="4" t="s">
        <v>44</v>
      </c>
      <c r="C51" s="21">
        <f aca="true" t="shared" si="17" ref="C51:P51">C11/C16</f>
        <v>0.2826395539745519</v>
      </c>
      <c r="D51" s="21">
        <f t="shared" si="17"/>
        <v>0.23816026752105326</v>
      </c>
      <c r="E51" s="21">
        <f t="shared" si="17"/>
        <v>0.2086543337095376</v>
      </c>
      <c r="F51" s="22">
        <f t="shared" si="17"/>
        <v>0.21807415851303</v>
      </c>
      <c r="G51" s="23">
        <f t="shared" si="17"/>
        <v>0.16277785106523315</v>
      </c>
      <c r="H51" s="23">
        <f t="shared" si="17"/>
        <v>0.19615947300678727</v>
      </c>
      <c r="I51" s="23">
        <f t="shared" si="17"/>
        <v>0.13650562961478066</v>
      </c>
      <c r="J51" s="23">
        <f t="shared" si="17"/>
        <v>0.18011389241673154</v>
      </c>
      <c r="K51" s="24">
        <f t="shared" si="17"/>
        <v>0.1486283997019898</v>
      </c>
      <c r="L51" s="21">
        <f t="shared" si="17"/>
        <v>0.23171910739410326</v>
      </c>
      <c r="M51" s="21">
        <f t="shared" si="17"/>
        <v>0.31526364647383753</v>
      </c>
      <c r="N51" s="21">
        <f t="shared" si="17"/>
        <v>0.28823651140040635</v>
      </c>
      <c r="O51" s="21">
        <f t="shared" si="17"/>
        <v>0.33937629067100616</v>
      </c>
      <c r="P51" s="21">
        <f t="shared" si="17"/>
        <v>0.3162723367455327</v>
      </c>
      <c r="Q51" s="23"/>
      <c r="R51" s="23"/>
    </row>
    <row r="52" spans="1:18" ht="11.25">
      <c r="A52" s="4" t="s">
        <v>45</v>
      </c>
      <c r="C52" s="21">
        <f aca="true" t="shared" si="18" ref="C52:P52">C11/C10</f>
        <v>0.23602036517355385</v>
      </c>
      <c r="D52" s="21">
        <f t="shared" si="18"/>
        <v>0.19864629044152543</v>
      </c>
      <c r="E52" s="21">
        <f t="shared" si="18"/>
        <v>0.1735058893936509</v>
      </c>
      <c r="F52" s="22">
        <f t="shared" si="18"/>
        <v>0.18560590748002317</v>
      </c>
      <c r="G52" s="23">
        <f t="shared" si="18"/>
        <v>0.135607772565235</v>
      </c>
      <c r="H52" s="23">
        <f t="shared" si="18"/>
        <v>0.1630202969803674</v>
      </c>
      <c r="I52" s="23">
        <f t="shared" si="18"/>
        <v>0.11336473297586759</v>
      </c>
      <c r="J52" s="23">
        <f t="shared" si="18"/>
        <v>0.14550774139311978</v>
      </c>
      <c r="K52" s="24">
        <f t="shared" si="18"/>
        <v>0.11870616630229122</v>
      </c>
      <c r="L52" s="21">
        <f t="shared" si="18"/>
        <v>0.1870344757578449</v>
      </c>
      <c r="M52" s="21">
        <f t="shared" si="18"/>
        <v>0.2486642840054806</v>
      </c>
      <c r="N52" s="21">
        <f t="shared" si="18"/>
        <v>0.22169408632489762</v>
      </c>
      <c r="O52" s="21">
        <f t="shared" si="18"/>
        <v>0.2660191857255815</v>
      </c>
      <c r="P52" s="21">
        <f t="shared" si="18"/>
        <v>0.2568965648884104</v>
      </c>
      <c r="Q52" s="23"/>
      <c r="R52" s="23"/>
    </row>
    <row r="53" spans="1:18" ht="11.25">
      <c r="A53" s="5" t="s">
        <v>46</v>
      </c>
      <c r="B53" s="5"/>
      <c r="C53" s="25">
        <f aca="true" t="shared" si="19" ref="C53:P53">(C11+C15)/C16</f>
        <v>0.5994407579696265</v>
      </c>
      <c r="D53" s="25">
        <f t="shared" si="19"/>
        <v>0.6498590612252044</v>
      </c>
      <c r="E53" s="25">
        <f t="shared" si="19"/>
        <v>0.6067438703240263</v>
      </c>
      <c r="F53" s="26">
        <f t="shared" si="19"/>
        <v>0.6253522687691967</v>
      </c>
      <c r="G53" s="25">
        <f t="shared" si="19"/>
        <v>0.6188081261130532</v>
      </c>
      <c r="H53" s="25">
        <f t="shared" si="19"/>
        <v>0.6510748519030755</v>
      </c>
      <c r="I53" s="25">
        <f t="shared" si="19"/>
        <v>0.6051000634793358</v>
      </c>
      <c r="J53" s="25">
        <f t="shared" si="19"/>
        <v>0.6826088737760662</v>
      </c>
      <c r="K53" s="27">
        <f t="shared" si="19"/>
        <v>0.6760897044174152</v>
      </c>
      <c r="L53" s="25">
        <f t="shared" si="19"/>
        <v>0.7320453062732367</v>
      </c>
      <c r="M53" s="25">
        <f t="shared" si="19"/>
        <v>0.6686519425372929</v>
      </c>
      <c r="N53" s="25">
        <f t="shared" si="19"/>
        <v>0.6675539920234781</v>
      </c>
      <c r="O53" s="25">
        <f t="shared" si="19"/>
        <v>0.695225587879826</v>
      </c>
      <c r="P53" s="25">
        <f t="shared" si="19"/>
        <v>0.626049274790145</v>
      </c>
      <c r="Q53" s="23"/>
      <c r="R53" s="23"/>
    </row>
    <row r="54" spans="1:18" ht="11.25">
      <c r="A54" s="13" t="s">
        <v>47</v>
      </c>
      <c r="C54" s="23"/>
      <c r="D54" s="21"/>
      <c r="E54" s="21"/>
      <c r="F54" s="22"/>
      <c r="G54" s="23"/>
      <c r="H54" s="23"/>
      <c r="I54" s="23"/>
      <c r="J54" s="23"/>
      <c r="K54" s="24"/>
      <c r="L54" s="21"/>
      <c r="M54" s="21"/>
      <c r="N54" s="21"/>
      <c r="O54" s="21"/>
      <c r="P54" s="21"/>
      <c r="Q54" s="23"/>
      <c r="R54" s="23"/>
    </row>
    <row r="55" spans="1:18" ht="11.25">
      <c r="A55" s="4" t="s">
        <v>48</v>
      </c>
      <c r="B55" s="6"/>
      <c r="C55" s="21">
        <f>(C40)/C28</f>
        <v>0.011038203891264088</v>
      </c>
      <c r="D55" s="21">
        <f>((D40)/0.75)/D28</f>
        <v>0.007178406229872944</v>
      </c>
      <c r="E55" s="21">
        <f>((E40)/0.5)/E28</f>
        <v>0.00835952651641811</v>
      </c>
      <c r="F55" s="22">
        <f>((F40)/0.25)/F28</f>
        <v>0.012374551750736483</v>
      </c>
      <c r="G55" s="21">
        <f>(G40)/G28</f>
        <v>0.018312927576310565</v>
      </c>
      <c r="H55" s="23">
        <f>((H40)/0.75)/H28</f>
        <v>0.020049400953229664</v>
      </c>
      <c r="I55" s="23">
        <f>((I40)/0.5)/I28</f>
        <v>0.028983163531166336</v>
      </c>
      <c r="J55" s="23">
        <f>((J40)/0.25)/J28</f>
        <v>0.018228394706686548</v>
      </c>
      <c r="K55" s="24">
        <f>(K40)/K28</f>
        <v>0.018871569979825392</v>
      </c>
      <c r="L55" s="21">
        <f>((L40)/0.75)/L28</f>
        <v>0.02041505610387661</v>
      </c>
      <c r="M55" s="21">
        <f>((M40)/0.5)/M28</f>
        <v>0.021977072100787674</v>
      </c>
      <c r="N55" s="21">
        <f>((N40)/0.25)/N28</f>
        <v>0.0295127687472683</v>
      </c>
      <c r="O55" s="21">
        <f>O40/O28</f>
        <v>0.019958065990888025</v>
      </c>
      <c r="P55" s="21">
        <f>P40/P28</f>
        <v>0.023093544611506256</v>
      </c>
      <c r="Q55" s="23"/>
      <c r="R55" s="23"/>
    </row>
    <row r="56" spans="1:18" ht="11.25">
      <c r="A56" s="4" t="s">
        <v>49</v>
      </c>
      <c r="B56" s="6"/>
      <c r="C56" s="21">
        <f>(C40)/C27</f>
        <v>0.008451434012995742</v>
      </c>
      <c r="D56" s="21">
        <f>((D40)/0.75)/D27</f>
        <v>0.0056863509025806575</v>
      </c>
      <c r="E56" s="21">
        <f>((E40)/0.5)/E27</f>
        <v>0.006867966772776754</v>
      </c>
      <c r="F56" s="22">
        <f>((F40)/0.25)/F27</f>
        <v>0.010070352228599666</v>
      </c>
      <c r="G56" s="21">
        <f>(G40)/G27</f>
        <v>0.015435695893752542</v>
      </c>
      <c r="H56" s="23">
        <f>((H40)/0.75)/H27</f>
        <v>0.016209450680928907</v>
      </c>
      <c r="I56" s="23">
        <f>((I40)/0.5)/I27</f>
        <v>0.022870997929841475</v>
      </c>
      <c r="J56" s="23">
        <f>((J40)/0.25)/J27</f>
        <v>0.01424161663088979</v>
      </c>
      <c r="K56" s="24">
        <f>(K40)/K27</f>
        <v>0.014808076748146347</v>
      </c>
      <c r="L56" s="21">
        <f>((L40)/0.75)/L27</f>
        <v>0.015448401204066564</v>
      </c>
      <c r="M56" s="21">
        <f>((M40)/0.5)/M27</f>
        <v>0.015635209199714048</v>
      </c>
      <c r="N56" s="21">
        <f>((N40)/0.25)/N27</f>
        <v>0.02156260454365743</v>
      </c>
      <c r="O56" s="21">
        <f>O40/O27</f>
        <v>0.014330507227510952</v>
      </c>
      <c r="P56" s="21">
        <f>P40/P27</f>
        <v>0.015861421266826672</v>
      </c>
      <c r="Q56" s="23"/>
      <c r="R56" s="23"/>
    </row>
    <row r="57" spans="1:18" ht="11.25">
      <c r="A57" s="4" t="s">
        <v>50</v>
      </c>
      <c r="B57" s="6"/>
      <c r="C57" s="21">
        <f>(C40)/C31</f>
        <v>0.07746117314850469</v>
      </c>
      <c r="D57" s="21">
        <f>((D40)/0.75)/D31</f>
        <v>0.053835682606595534</v>
      </c>
      <c r="E57" s="21">
        <f>((E40)/0.5)/E31</f>
        <v>0.06668889629876626</v>
      </c>
      <c r="F57" s="22">
        <f>((F40)/0.25)/F31</f>
        <v>0.10219225426083421</v>
      </c>
      <c r="G57" s="21">
        <f>(G40)/G31</f>
        <v>0.1474147414741474</v>
      </c>
      <c r="H57" s="23">
        <f>((H40)/0.75)/H31</f>
        <v>0.16632810505400336</v>
      </c>
      <c r="I57" s="23">
        <f>((I40)/0.5)/I31</f>
        <v>0.2213606889216729</v>
      </c>
      <c r="J57" s="23">
        <f>((J40)/0.25)/J31</f>
        <v>0.1444701591976997</v>
      </c>
      <c r="K57" s="24">
        <f>(K40)/K31</f>
        <v>0.1467453967366619</v>
      </c>
      <c r="L57" s="21">
        <f>((L40)/0.75)/L31</f>
        <v>0.15518470974183426</v>
      </c>
      <c r="M57" s="21">
        <f>((M40)/0.5)/M31</f>
        <v>0.15055514433752776</v>
      </c>
      <c r="N57" s="21">
        <f>((N40)/0.25)/N31</f>
        <v>0.21715160796324656</v>
      </c>
      <c r="O57" s="21">
        <f>O40/O31</f>
        <v>0.14997630706049597</v>
      </c>
      <c r="P57" s="21">
        <f>P40/P31</f>
        <v>0.1847067824834601</v>
      </c>
      <c r="Q57" s="23"/>
      <c r="R57" s="23"/>
    </row>
    <row r="58" spans="1:18" ht="11.25">
      <c r="A58" s="4" t="s">
        <v>51</v>
      </c>
      <c r="B58" s="6"/>
      <c r="C58" s="21">
        <f aca="true" t="shared" si="20" ref="C58:P58">(C33)/C28</f>
        <v>0.08440064930611126</v>
      </c>
      <c r="D58" s="21">
        <f t="shared" si="20"/>
        <v>0.062225540137010364</v>
      </c>
      <c r="E58" s="21">
        <f t="shared" si="20"/>
        <v>0.04239951849127265</v>
      </c>
      <c r="F58" s="22">
        <f t="shared" si="20"/>
        <v>0.020170191116253497</v>
      </c>
      <c r="G58" s="21">
        <f t="shared" si="20"/>
        <v>0.09431398872926933</v>
      </c>
      <c r="H58" s="21">
        <f t="shared" si="20"/>
        <v>0.07094629854125355</v>
      </c>
      <c r="I58" s="21">
        <f t="shared" si="20"/>
        <v>0.05333944261764864</v>
      </c>
      <c r="J58" s="22">
        <f t="shared" si="20"/>
        <v>0.02603297923644263</v>
      </c>
      <c r="K58" s="21">
        <f t="shared" si="20"/>
        <v>0.0985994599136401</v>
      </c>
      <c r="L58" s="21">
        <f t="shared" si="20"/>
        <v>0.07414530716403347</v>
      </c>
      <c r="M58" s="21">
        <f t="shared" si="20"/>
        <v>0.05405668226167194</v>
      </c>
      <c r="N58" s="21">
        <f t="shared" si="20"/>
        <v>0.02671342643661415</v>
      </c>
      <c r="O58" s="21">
        <f t="shared" si="20"/>
        <v>0.10255440123174583</v>
      </c>
      <c r="P58" s="21">
        <f t="shared" si="20"/>
        <v>0.11966552624471054</v>
      </c>
      <c r="Q58" s="23"/>
      <c r="R58" s="23"/>
    </row>
    <row r="59" spans="1:18" ht="11.25">
      <c r="A59" s="4" t="s">
        <v>52</v>
      </c>
      <c r="B59" s="6"/>
      <c r="C59" s="21">
        <f aca="true" t="shared" si="21" ref="C59:P59">(C34)/C28</f>
        <v>0.06435446626580398</v>
      </c>
      <c r="D59" s="21">
        <f t="shared" si="21"/>
        <v>0.0487792025294221</v>
      </c>
      <c r="E59" s="21">
        <f t="shared" si="21"/>
        <v>0.03214237945562763</v>
      </c>
      <c r="F59" s="22">
        <f t="shared" si="21"/>
        <v>0.015886692433306253</v>
      </c>
      <c r="G59" s="21">
        <f t="shared" si="21"/>
        <v>0.0703415787061973</v>
      </c>
      <c r="H59" s="21">
        <f t="shared" si="21"/>
        <v>0.052954824621263816</v>
      </c>
      <c r="I59" s="21">
        <f t="shared" si="21"/>
        <v>0.039171293551111354</v>
      </c>
      <c r="J59" s="22">
        <f t="shared" si="21"/>
        <v>0.019458368912623165</v>
      </c>
      <c r="K59" s="21">
        <f t="shared" si="21"/>
        <v>0.07235000471789249</v>
      </c>
      <c r="L59" s="21">
        <f t="shared" si="21"/>
        <v>0.053458175404360715</v>
      </c>
      <c r="M59" s="21">
        <f t="shared" si="21"/>
        <v>0.0397942755885944</v>
      </c>
      <c r="N59" s="21">
        <f t="shared" si="21"/>
        <v>0.018648406768372636</v>
      </c>
      <c r="O59" s="21">
        <f t="shared" si="21"/>
        <v>0.07596466613066806</v>
      </c>
      <c r="P59" s="21">
        <f t="shared" si="21"/>
        <v>0.0897069415683803</v>
      </c>
      <c r="Q59" s="23"/>
      <c r="R59" s="23"/>
    </row>
    <row r="60" spans="1:18" ht="11.25">
      <c r="A60" s="4" t="s">
        <v>53</v>
      </c>
      <c r="B60" s="6"/>
      <c r="C60" s="21">
        <f aca="true" t="shared" si="22" ref="C60:P60">(C35)/C28</f>
        <v>0.020046183040307277</v>
      </c>
      <c r="D60" s="21">
        <f t="shared" si="22"/>
        <v>0.013446337607588267</v>
      </c>
      <c r="E60" s="21">
        <f t="shared" si="22"/>
        <v>0.010257139035645022</v>
      </c>
      <c r="F60" s="22">
        <f t="shared" si="22"/>
        <v>0.004283498682947244</v>
      </c>
      <c r="G60" s="21">
        <f t="shared" si="22"/>
        <v>0.023972410023072037</v>
      </c>
      <c r="H60" s="21">
        <f t="shared" si="22"/>
        <v>0.017991473919989724</v>
      </c>
      <c r="I60" s="21">
        <f t="shared" si="22"/>
        <v>0.014168149066537294</v>
      </c>
      <c r="J60" s="22">
        <f t="shared" si="22"/>
        <v>0.0065746103238194685</v>
      </c>
      <c r="K60" s="21">
        <f t="shared" si="22"/>
        <v>0.026249455195747607</v>
      </c>
      <c r="L60" s="21">
        <f t="shared" si="22"/>
        <v>0.02068713175967276</v>
      </c>
      <c r="M60" s="21">
        <f t="shared" si="22"/>
        <v>0.014262406673077547</v>
      </c>
      <c r="N60" s="21">
        <f t="shared" si="22"/>
        <v>0.008065019668241514</v>
      </c>
      <c r="O60" s="21">
        <f t="shared" si="22"/>
        <v>0.026589735101077778</v>
      </c>
      <c r="P60" s="21">
        <f t="shared" si="22"/>
        <v>0.02995858467633024</v>
      </c>
      <c r="Q60" s="23"/>
      <c r="R60" s="23"/>
    </row>
    <row r="61" spans="1:18" ht="11.25">
      <c r="A61" s="4" t="s">
        <v>54</v>
      </c>
      <c r="B61" s="6"/>
      <c r="C61" s="21">
        <f>(C38)/(C37)</f>
        <v>0.75550195960205</v>
      </c>
      <c r="D61" s="21">
        <f>(D38/0.75)/(D37/0.75)</f>
        <v>0.77738411573664</v>
      </c>
      <c r="E61" s="21">
        <f>(E38/0.5)/(E37/0.5)</f>
        <v>0.7825768667642753</v>
      </c>
      <c r="F61" s="22">
        <f>(F38/0.25)/(F37/0.25)</f>
        <v>0.4747847478474785</v>
      </c>
      <c r="G61" s="21">
        <f>(G38)/(G37)</f>
        <v>0.6713794421092855</v>
      </c>
      <c r="H61" s="21">
        <f>(H38/0.75)/(H37/0.75)</f>
        <v>0.5581891949604955</v>
      </c>
      <c r="I61" s="21">
        <f>(I38/0.5)/(I37/0.5)</f>
        <v>0.44273560209424084</v>
      </c>
      <c r="J61" s="22">
        <f>(J38/0.25)/(J37/0.25)</f>
        <v>0.391304347826087</v>
      </c>
      <c r="K61" s="21">
        <f>(K38)/(K37)</f>
        <v>0.39063331559340075</v>
      </c>
      <c r="L61" s="21">
        <f>((L38)/0.75)/((L37)/0.75)</f>
        <v>0.3717044188637208</v>
      </c>
      <c r="M61" s="21">
        <f>((M38)/0.5)/((M37)/0.5)</f>
        <v>0.3833922261484099</v>
      </c>
      <c r="N61" s="21">
        <f>(N38/0.25)/(N37/0.25)</f>
        <v>0.276</v>
      </c>
      <c r="O61" s="21">
        <f>O38/O37</f>
        <v>0.3489531405782652</v>
      </c>
      <c r="P61" s="21">
        <f>P38/P37</f>
        <v>0.3232938160845883</v>
      </c>
      <c r="Q61" s="23"/>
      <c r="R61" s="23"/>
    </row>
    <row r="62" spans="1:18" ht="11.25">
      <c r="A62" s="5" t="s">
        <v>55</v>
      </c>
      <c r="B62" s="5"/>
      <c r="C62" s="25">
        <f aca="true" t="shared" si="23" ref="C62:P62">(C36)/C28</f>
        <v>0.04062278515741101</v>
      </c>
      <c r="D62" s="25">
        <f t="shared" si="23"/>
        <v>0.016300720182680487</v>
      </c>
      <c r="E62" s="25">
        <f t="shared" si="23"/>
        <v>0.012581087407209255</v>
      </c>
      <c r="F62" s="26">
        <f t="shared" si="23"/>
        <v>0.002387927426700475</v>
      </c>
      <c r="G62" s="25">
        <f t="shared" si="23"/>
        <v>0.03914207391091139</v>
      </c>
      <c r="H62" s="25">
        <f t="shared" si="23"/>
        <v>0.019605167029279297</v>
      </c>
      <c r="I62" s="25">
        <f t="shared" si="23"/>
        <v>0.013287693385801304</v>
      </c>
      <c r="J62" s="26">
        <f t="shared" si="23"/>
        <v>0.0015662261471279218</v>
      </c>
      <c r="K62" s="25">
        <f t="shared" si="23"/>
        <v>0.007521668606244692</v>
      </c>
      <c r="L62" s="25">
        <f t="shared" si="23"/>
        <v>0.004578376552707622</v>
      </c>
      <c r="M62" s="25">
        <f t="shared" si="23"/>
        <v>0.004084234638199479</v>
      </c>
      <c r="N62" s="25">
        <f t="shared" si="23"/>
        <v>0.002341457323037859</v>
      </c>
      <c r="O62" s="21">
        <f t="shared" si="23"/>
        <v>0.005034183048781129</v>
      </c>
      <c r="P62" s="25">
        <f t="shared" si="23"/>
        <v>0.005165661294679031</v>
      </c>
      <c r="Q62" s="23"/>
      <c r="R62" s="23"/>
    </row>
    <row r="63" spans="1:16" ht="11.25">
      <c r="A63" s="13" t="s">
        <v>56</v>
      </c>
      <c r="B63" s="6"/>
      <c r="C63" s="6"/>
      <c r="D63" s="6"/>
      <c r="E63" s="6"/>
      <c r="F63" s="17"/>
      <c r="K63" s="18"/>
      <c r="L63" s="6"/>
      <c r="M63" s="6"/>
      <c r="N63" s="6"/>
      <c r="O63" s="6"/>
      <c r="P63" s="6"/>
    </row>
    <row r="64" spans="1:16" ht="11.25">
      <c r="A64" s="4" t="s">
        <v>57</v>
      </c>
      <c r="B64" s="6"/>
      <c r="C64" s="6">
        <v>36</v>
      </c>
      <c r="D64" s="6">
        <v>36</v>
      </c>
      <c r="E64" s="6">
        <v>37</v>
      </c>
      <c r="F64" s="17">
        <v>37</v>
      </c>
      <c r="G64" s="4">
        <v>37</v>
      </c>
      <c r="H64" s="4">
        <v>37</v>
      </c>
      <c r="I64" s="4">
        <v>36</v>
      </c>
      <c r="J64" s="4">
        <v>35</v>
      </c>
      <c r="K64" s="18">
        <v>36</v>
      </c>
      <c r="L64" s="6">
        <v>40</v>
      </c>
      <c r="M64" s="6">
        <v>36</v>
      </c>
      <c r="N64" s="6">
        <v>33</v>
      </c>
      <c r="O64" s="6">
        <v>32</v>
      </c>
      <c r="P64" s="6">
        <v>31</v>
      </c>
    </row>
    <row r="65" spans="1:16" ht="11.25">
      <c r="A65" s="4" t="s">
        <v>58</v>
      </c>
      <c r="B65" s="6"/>
      <c r="C65" s="6">
        <v>3</v>
      </c>
      <c r="D65" s="6">
        <v>3</v>
      </c>
      <c r="E65" s="6">
        <v>3</v>
      </c>
      <c r="F65" s="17">
        <v>3</v>
      </c>
      <c r="G65" s="4">
        <v>3</v>
      </c>
      <c r="H65" s="4">
        <v>3</v>
      </c>
      <c r="I65" s="4">
        <v>3</v>
      </c>
      <c r="J65" s="4">
        <v>3</v>
      </c>
      <c r="K65" s="18">
        <v>3</v>
      </c>
      <c r="L65" s="6">
        <v>3</v>
      </c>
      <c r="M65" s="6">
        <v>3</v>
      </c>
      <c r="N65" s="6">
        <v>3</v>
      </c>
      <c r="O65" s="6">
        <v>3</v>
      </c>
      <c r="P65" s="6">
        <v>3</v>
      </c>
    </row>
    <row r="66" spans="1:16" ht="11.25">
      <c r="A66" s="4" t="s">
        <v>59</v>
      </c>
      <c r="B66" s="6"/>
      <c r="C66" s="6">
        <f aca="true" t="shared" si="24" ref="C66:P66">C12/C64</f>
        <v>1672.2222222222222</v>
      </c>
      <c r="D66" s="6">
        <f t="shared" si="24"/>
        <v>1624.0277777777778</v>
      </c>
      <c r="E66" s="6">
        <f t="shared" si="24"/>
        <v>1839.8648648648648</v>
      </c>
      <c r="F66" s="17">
        <f t="shared" si="24"/>
        <v>1786.3513513513512</v>
      </c>
      <c r="G66" s="4">
        <f t="shared" si="24"/>
        <v>1787.4594594594594</v>
      </c>
      <c r="H66" s="4">
        <f t="shared" si="24"/>
        <v>1765.4324324324325</v>
      </c>
      <c r="I66" s="4">
        <f t="shared" si="24"/>
        <v>1844.3055555555557</v>
      </c>
      <c r="J66" s="4">
        <f t="shared" si="24"/>
        <v>1853</v>
      </c>
      <c r="K66" s="18">
        <f t="shared" si="24"/>
        <v>1786.9166666666667</v>
      </c>
      <c r="L66" s="6">
        <f t="shared" si="24"/>
        <v>1581</v>
      </c>
      <c r="M66" s="6">
        <f t="shared" si="24"/>
        <v>1712.9444444444443</v>
      </c>
      <c r="N66" s="6">
        <f t="shared" si="24"/>
        <v>1803.4242424242425</v>
      </c>
      <c r="O66" s="6">
        <f t="shared" si="24"/>
        <v>1807.03125</v>
      </c>
      <c r="P66" s="6">
        <f t="shared" si="24"/>
        <v>2004.0645161290322</v>
      </c>
    </row>
    <row r="67" spans="1:16" ht="11.25">
      <c r="A67" s="4" t="s">
        <v>60</v>
      </c>
      <c r="B67" s="6"/>
      <c r="C67" s="6">
        <f aca="true" t="shared" si="25" ref="C67:P67">C16/C64</f>
        <v>3248.4444444444443</v>
      </c>
      <c r="D67" s="6">
        <f t="shared" si="25"/>
        <v>3173.1666666666665</v>
      </c>
      <c r="E67" s="6">
        <f t="shared" si="25"/>
        <v>3304.7027027027025</v>
      </c>
      <c r="F67" s="17">
        <f t="shared" si="25"/>
        <v>3414.162162162162</v>
      </c>
      <c r="G67" s="4">
        <f t="shared" si="25"/>
        <v>3278.054054054054</v>
      </c>
      <c r="H67" s="4">
        <f t="shared" si="25"/>
        <v>3380.7297297297296</v>
      </c>
      <c r="I67" s="4">
        <f t="shared" si="25"/>
        <v>3325.6666666666665</v>
      </c>
      <c r="J67" s="4">
        <f t="shared" si="25"/>
        <v>3487</v>
      </c>
      <c r="K67" s="18">
        <f t="shared" si="25"/>
        <v>3318.3055555555557</v>
      </c>
      <c r="L67" s="6">
        <f t="shared" si="25"/>
        <v>3180.575</v>
      </c>
      <c r="M67" s="6">
        <f t="shared" si="25"/>
        <v>3022.25</v>
      </c>
      <c r="N67" s="6">
        <f t="shared" si="25"/>
        <v>3221.5757575757575</v>
      </c>
      <c r="O67" s="6">
        <f t="shared" si="25"/>
        <v>3283.78125</v>
      </c>
      <c r="P67" s="6">
        <f t="shared" si="25"/>
        <v>3431.7096774193546</v>
      </c>
    </row>
    <row r="68" spans="1:16" ht="11.25">
      <c r="A68" s="5" t="s">
        <v>61</v>
      </c>
      <c r="B68" s="5"/>
      <c r="C68" s="5">
        <f aca="true" t="shared" si="26" ref="C68:P68">C40/C64</f>
        <v>33.52777777777778</v>
      </c>
      <c r="D68" s="5">
        <f t="shared" si="26"/>
        <v>17.02777777777778</v>
      </c>
      <c r="E68" s="5">
        <f t="shared" si="26"/>
        <v>13.513513513513514</v>
      </c>
      <c r="F68" s="19">
        <f t="shared" si="26"/>
        <v>10.18918918918919</v>
      </c>
      <c r="G68" s="5">
        <f t="shared" si="26"/>
        <v>61.567567567567565</v>
      </c>
      <c r="H68" s="5">
        <f t="shared" si="26"/>
        <v>50.62162162162162</v>
      </c>
      <c r="I68" s="5">
        <f t="shared" si="26"/>
        <v>44.80555555555556</v>
      </c>
      <c r="J68" s="5">
        <f t="shared" si="26"/>
        <v>14.714285714285714</v>
      </c>
      <c r="K68" s="20">
        <f t="shared" si="26"/>
        <v>58.333333333333336</v>
      </c>
      <c r="L68" s="5">
        <f t="shared" si="26"/>
        <v>40.8</v>
      </c>
      <c r="M68" s="5">
        <f t="shared" si="26"/>
        <v>28.25</v>
      </c>
      <c r="N68" s="5">
        <f t="shared" si="26"/>
        <v>21.484848484848484</v>
      </c>
      <c r="O68" s="5">
        <f t="shared" si="26"/>
        <v>59.34375</v>
      </c>
      <c r="P68" s="5">
        <f t="shared" si="26"/>
        <v>66.19354838709677</v>
      </c>
    </row>
    <row r="69" spans="1:16" ht="11.25">
      <c r="A69" s="13" t="s">
        <v>62</v>
      </c>
      <c r="B69" s="6"/>
      <c r="C69" s="6"/>
      <c r="D69" s="6"/>
      <c r="E69" s="6"/>
      <c r="F69" s="17"/>
      <c r="K69" s="18"/>
      <c r="L69" s="6"/>
      <c r="M69" s="6"/>
      <c r="N69" s="6"/>
      <c r="O69" s="6"/>
      <c r="P69" s="6"/>
    </row>
    <row r="70" spans="1:22" ht="11.25">
      <c r="A70" s="4" t="s">
        <v>63</v>
      </c>
      <c r="B70" s="6"/>
      <c r="C70" s="23">
        <f aca="true" t="shared" si="27" ref="C70:J70">(C10-G10)/G10</f>
        <v>-0.038093537286470816</v>
      </c>
      <c r="D70" s="21">
        <f t="shared" si="27"/>
        <v>-0.090077400923496</v>
      </c>
      <c r="E70" s="21">
        <f t="shared" si="27"/>
        <v>0.019984323300708227</v>
      </c>
      <c r="F70" s="22">
        <f t="shared" si="27"/>
        <v>-0.017534801517167426</v>
      </c>
      <c r="G70" s="23">
        <f t="shared" si="27"/>
        <v>-0.02662280789725281</v>
      </c>
      <c r="H70" s="23">
        <f t="shared" si="27"/>
        <v>-0.045064649976525525</v>
      </c>
      <c r="I70" s="23">
        <f t="shared" si="27"/>
        <v>0.0451062410740824</v>
      </c>
      <c r="J70" s="23">
        <f t="shared" si="27"/>
        <v>0.09295915266744802</v>
      </c>
      <c r="K70" s="24">
        <f>(K10-O10)/L10</f>
        <v>0.0984215000824779</v>
      </c>
      <c r="L70" s="21">
        <f>(L10-124093)/124093</f>
        <v>0.2701602830135463</v>
      </c>
      <c r="M70" s="21">
        <f>(M10-122242)/122242</f>
        <v>0.12842558204217863</v>
      </c>
      <c r="N70" s="21">
        <f>(N10-124827)/124827</f>
        <v>0.10730851498473888</v>
      </c>
      <c r="O70" s="21">
        <f>(O10-P10)/P10</f>
        <v>0.023570103305311865</v>
      </c>
      <c r="P70" s="21">
        <f>(P10-127770)/127770</f>
        <v>0.025052829302653203</v>
      </c>
      <c r="Q70" s="23"/>
      <c r="R70" s="23"/>
      <c r="S70" s="3"/>
      <c r="T70" s="3"/>
      <c r="U70" s="3"/>
      <c r="V70" s="3"/>
    </row>
    <row r="71" spans="1:22" ht="11.25">
      <c r="A71" s="4" t="s">
        <v>64</v>
      </c>
      <c r="B71" s="6"/>
      <c r="C71" s="23">
        <f aca="true" t="shared" si="28" ref="C71:K73">(C12-G12)/G12</f>
        <v>-0.08975444538526672</v>
      </c>
      <c r="D71" s="21">
        <f t="shared" si="28"/>
        <v>-0.10495858912141577</v>
      </c>
      <c r="E71" s="21">
        <f t="shared" si="28"/>
        <v>0.025303110173958882</v>
      </c>
      <c r="F71" s="22">
        <f t="shared" si="28"/>
        <v>0.0191195744352787</v>
      </c>
      <c r="G71" s="23">
        <f t="shared" si="28"/>
        <v>0.028089974972407467</v>
      </c>
      <c r="H71" s="23">
        <f t="shared" si="28"/>
        <v>0.03290638836179633</v>
      </c>
      <c r="I71" s="23">
        <f t="shared" si="28"/>
        <v>0.07668731553854637</v>
      </c>
      <c r="J71" s="23">
        <f t="shared" si="28"/>
        <v>0.08976190076117822</v>
      </c>
      <c r="K71" s="24">
        <f t="shared" si="28"/>
        <v>0.11247730220492866</v>
      </c>
      <c r="L71" s="21">
        <f>L12/52716-1</f>
        <v>0.19963578420213968</v>
      </c>
      <c r="M71" s="21">
        <f>M12/52358-1</f>
        <v>0.17777608006417367</v>
      </c>
      <c r="N71" s="21">
        <f>N12/60390-1</f>
        <v>-0.014522271899321093</v>
      </c>
      <c r="O71" s="21">
        <f>(O12-P12)/P12*100</f>
        <v>-6.9230273959372886</v>
      </c>
      <c r="P71" s="21">
        <f>(P12-63764)/63764</f>
        <v>-0.025688476256194717</v>
      </c>
      <c r="Q71" s="23"/>
      <c r="R71" s="23"/>
      <c r="S71" s="3"/>
      <c r="T71" s="3"/>
      <c r="U71" s="3"/>
      <c r="V71" s="3"/>
    </row>
    <row r="72" spans="2:22" ht="11.25">
      <c r="B72" s="6" t="s">
        <v>15</v>
      </c>
      <c r="C72" s="23">
        <f t="shared" si="28"/>
        <v>-0.024293820029087036</v>
      </c>
      <c r="D72" s="21">
        <f t="shared" si="28"/>
        <v>0.0062541418157720345</v>
      </c>
      <c r="E72" s="21">
        <f t="shared" si="28"/>
        <v>0.17414093171975553</v>
      </c>
      <c r="F72" s="22">
        <f t="shared" si="28"/>
        <v>0.16666666666666666</v>
      </c>
      <c r="G72" s="23">
        <f t="shared" si="28"/>
        <v>0.010055241760288002</v>
      </c>
      <c r="H72" s="23">
        <f t="shared" si="28"/>
        <v>0.02808235218974217</v>
      </c>
      <c r="I72" s="23">
        <f t="shared" si="28"/>
        <v>0.08335525738840656</v>
      </c>
      <c r="J72" s="23">
        <f t="shared" si="28"/>
        <v>0.10262068965517242</v>
      </c>
      <c r="K72" s="24">
        <f t="shared" si="28"/>
        <v>0.15568361149634163</v>
      </c>
      <c r="L72" s="21">
        <f>L13/36113-1</f>
        <v>0.3006119679893666</v>
      </c>
      <c r="M72" s="21">
        <f>M13/36204-1</f>
        <v>0.25986078886310904</v>
      </c>
      <c r="N72" s="21">
        <f>N13/44156-1</f>
        <v>-0.01485641815381833</v>
      </c>
      <c r="O72" s="21">
        <f>(O13-P13)/P13*100</f>
        <v>-8.689576874372298</v>
      </c>
      <c r="P72" s="21">
        <f>(P13-44461)/44461</f>
        <v>0.030161264928814015</v>
      </c>
      <c r="Q72" s="23"/>
      <c r="R72" s="23"/>
      <c r="S72" s="3"/>
      <c r="T72" s="3"/>
      <c r="U72" s="3"/>
      <c r="V72" s="3"/>
    </row>
    <row r="73" spans="2:22" ht="11.25">
      <c r="B73" s="6" t="s">
        <v>16</v>
      </c>
      <c r="C73" s="28">
        <f t="shared" si="28"/>
        <v>-0.2742969336490154</v>
      </c>
      <c r="D73" s="28">
        <f t="shared" si="28"/>
        <v>-0.4202430575940821</v>
      </c>
      <c r="E73" s="28">
        <f t="shared" si="28"/>
        <v>-0.4078087274012131</v>
      </c>
      <c r="F73" s="22">
        <f t="shared" si="28"/>
        <v>-0.3998579124977799</v>
      </c>
      <c r="G73" s="21">
        <f t="shared" si="28"/>
        <v>0.08258314578644661</v>
      </c>
      <c r="H73" s="23">
        <f t="shared" si="28"/>
        <v>0.04683178661422162</v>
      </c>
      <c r="I73" s="23">
        <f t="shared" si="28"/>
        <v>0.057742618662015695</v>
      </c>
      <c r="J73" s="23">
        <f t="shared" si="28"/>
        <v>0.05483045025916443</v>
      </c>
      <c r="K73" s="24">
        <f t="shared" si="28"/>
        <v>-0.000437417984127976</v>
      </c>
      <c r="L73" s="21">
        <f>L14/16603-1</f>
        <v>-0.01999638619526589</v>
      </c>
      <c r="M73" s="21">
        <f>M14/16153-1</f>
        <v>-0.006128892465795843</v>
      </c>
      <c r="N73" s="21">
        <f>N14/16234-1</f>
        <v>-0.013613403966982851</v>
      </c>
      <c r="O73" s="21">
        <f>(O14-P14)/P14*100</f>
        <v>-1.9664297966184758</v>
      </c>
      <c r="P73" s="21">
        <f>(P14-19303)/19303</f>
        <v>-0.1543283427446511</v>
      </c>
      <c r="Q73" s="23"/>
      <c r="R73" s="23"/>
      <c r="S73" s="3"/>
      <c r="T73" s="3"/>
      <c r="U73" s="3"/>
      <c r="V73" s="3"/>
    </row>
    <row r="74" spans="1:22" ht="11.25">
      <c r="A74" s="4" t="s">
        <v>65</v>
      </c>
      <c r="B74" s="6"/>
      <c r="C74" s="23">
        <f aca="true" t="shared" si="29" ref="C74:K74">(C16-G16)/G16</f>
        <v>-0.03581557944726601</v>
      </c>
      <c r="D74" s="21">
        <f t="shared" si="29"/>
        <v>-0.08676361252568213</v>
      </c>
      <c r="E74" s="21">
        <f t="shared" si="29"/>
        <v>0.021298987671644783</v>
      </c>
      <c r="F74" s="22">
        <f t="shared" si="29"/>
        <v>0.035060838215412345</v>
      </c>
      <c r="G74" s="23">
        <f t="shared" si="29"/>
        <v>0.015310692371441248</v>
      </c>
      <c r="H74" s="23">
        <f t="shared" si="29"/>
        <v>-0.016789417007930955</v>
      </c>
      <c r="I74" s="23">
        <f t="shared" si="29"/>
        <v>0.10039429784652715</v>
      </c>
      <c r="J74" s="23">
        <f t="shared" si="29"/>
        <v>0.1479889382195801</v>
      </c>
      <c r="K74" s="24">
        <f t="shared" si="29"/>
        <v>0.13682778047411046</v>
      </c>
      <c r="L74" s="21">
        <f>L16/100550-1</f>
        <v>0.2652710094480357</v>
      </c>
      <c r="M74" s="21">
        <f>M16/100568-1</f>
        <v>0.08186500676159425</v>
      </c>
      <c r="N74" s="21">
        <f>N16/103821-1</f>
        <v>0.02399321909825569</v>
      </c>
      <c r="O74" s="21">
        <f>(O16-P16)/P16*100</f>
        <v>-1.223879755224049</v>
      </c>
      <c r="P74" s="21">
        <f>(P16-109660)/109660</f>
        <v>-0.029883275579062556</v>
      </c>
      <c r="Q74" s="23"/>
      <c r="R74" s="23"/>
      <c r="S74" s="3"/>
      <c r="T74" s="3"/>
      <c r="U74" s="3"/>
      <c r="V74" s="3"/>
    </row>
    <row r="75" spans="2:22" ht="11.25">
      <c r="B75" s="6" t="s">
        <v>15</v>
      </c>
      <c r="C75" s="23">
        <f aca="true" t="shared" si="30" ref="C75:J75">(C17-G17)/G17</f>
        <v>-0.0853276955602537</v>
      </c>
      <c r="D75" s="21">
        <f t="shared" si="30"/>
        <v>-0.11191460756554154</v>
      </c>
      <c r="E75" s="21">
        <f t="shared" si="30"/>
        <v>0.05347576428319379</v>
      </c>
      <c r="F75" s="22">
        <f t="shared" si="30"/>
        <v>0.07080288187425492</v>
      </c>
      <c r="G75" s="23">
        <f t="shared" si="30"/>
        <v>0.009217376461551591</v>
      </c>
      <c r="H75" s="23">
        <f t="shared" si="30"/>
        <v>-0.0035622583296966498</v>
      </c>
      <c r="I75" s="23">
        <f t="shared" si="30"/>
        <v>0.16029975558009404</v>
      </c>
      <c r="J75" s="23">
        <f t="shared" si="30"/>
        <v>0.2424172172636297</v>
      </c>
      <c r="K75" s="24">
        <f>(K17-O17)/L17</f>
        <v>0.1723787969512752</v>
      </c>
      <c r="L75" s="21">
        <f>L17/70048-1</f>
        <v>0.40664972590223836</v>
      </c>
      <c r="M75" s="21">
        <f>M17/68828-1</f>
        <v>0.1710205149067241</v>
      </c>
      <c r="N75" s="21">
        <f>N17/71665-1</f>
        <v>0.0834158933928697</v>
      </c>
      <c r="O75" s="21">
        <f>(O17-P17)/P17*100</f>
        <v>1.9784220456538493</v>
      </c>
      <c r="P75" s="21">
        <f>(P17-74971)/74971</f>
        <v>0.003881500846994171</v>
      </c>
      <c r="Q75" s="23"/>
      <c r="R75" s="23"/>
      <c r="S75" s="3"/>
      <c r="T75" s="3"/>
      <c r="U75" s="3"/>
      <c r="V75" s="3"/>
    </row>
    <row r="76" spans="2:22" ht="11.25">
      <c r="B76" s="6" t="s">
        <v>16</v>
      </c>
      <c r="C76" s="23">
        <f aca="true" t="shared" si="31" ref="C76:K76">(C21-G21)/G21</f>
        <v>0.1396882494004796</v>
      </c>
      <c r="D76" s="21">
        <f t="shared" si="31"/>
        <v>0.005017654711020256</v>
      </c>
      <c r="E76" s="21">
        <f t="shared" si="31"/>
        <v>-0.09353176874642244</v>
      </c>
      <c r="F76" s="22">
        <f t="shared" si="31"/>
        <v>-0.09972634870992964</v>
      </c>
      <c r="G76" s="23">
        <f t="shared" si="31"/>
        <v>0.037515064339307236</v>
      </c>
      <c r="H76" s="23">
        <f t="shared" si="31"/>
        <v>-0.062216800278842806</v>
      </c>
      <c r="I76" s="23">
        <f t="shared" si="31"/>
        <v>-0.07081058080987164</v>
      </c>
      <c r="J76" s="23">
        <f t="shared" si="31"/>
        <v>-0.10774704384526841</v>
      </c>
      <c r="K76" s="24">
        <f t="shared" si="31"/>
        <v>-0.09202259089304624</v>
      </c>
      <c r="L76" s="21">
        <f>L21/30502-1</f>
        <v>-0.05940594059405946</v>
      </c>
      <c r="M76" s="21">
        <f>M21/31741-1</f>
        <v>-0.11149617214328467</v>
      </c>
      <c r="N76" s="21">
        <f>N21/32156-1</f>
        <v>-0.10844010449060826</v>
      </c>
      <c r="O76" s="21">
        <f>(O21-P21)/P21</f>
        <v>-0.08968220815526494</v>
      </c>
      <c r="P76" s="21">
        <f>(P21-34690)/34690</f>
        <v>-0.10288267512251369</v>
      </c>
      <c r="Q76" s="23"/>
      <c r="R76" s="23"/>
      <c r="S76" s="3"/>
      <c r="T76" s="3"/>
      <c r="U76" s="3"/>
      <c r="V76" s="3"/>
    </row>
    <row r="77" spans="1:22" ht="11.25">
      <c r="A77" s="4" t="s">
        <v>66</v>
      </c>
      <c r="B77" s="6"/>
      <c r="C77" s="23">
        <f aca="true" t="shared" si="32" ref="C77:I77">C25/G25-1</f>
        <v>0.0032139872726104635</v>
      </c>
      <c r="D77" s="21">
        <f t="shared" si="32"/>
        <v>0.003959873284054893</v>
      </c>
      <c r="E77" s="21">
        <f t="shared" si="32"/>
        <v>0.013832930432446933</v>
      </c>
      <c r="F77" s="22">
        <f t="shared" si="32"/>
        <v>0.03327592146055802</v>
      </c>
      <c r="G77" s="23">
        <f t="shared" si="32"/>
        <v>0.013551371424848524</v>
      </c>
      <c r="H77" s="23">
        <f t="shared" si="32"/>
        <v>0.018484909591987675</v>
      </c>
      <c r="I77" s="23">
        <f t="shared" si="32"/>
        <v>0.044686075061382</v>
      </c>
      <c r="J77" s="23">
        <f>(J25-N25)/N25</f>
        <v>0.03656359351567521</v>
      </c>
      <c r="K77" s="24">
        <f>(K25-O25)/O25</f>
        <v>0.1564948764315853</v>
      </c>
      <c r="L77" s="21">
        <f>(L25-13168)/13168</f>
        <v>0.1297843256379101</v>
      </c>
      <c r="M77" s="21">
        <f>(M25-12765)/12765</f>
        <v>0.11672542107324715</v>
      </c>
      <c r="N77" s="21">
        <f>(N25-12118)/12118</f>
        <v>0.15555372173626011</v>
      </c>
      <c r="O77" s="21">
        <f>(O25-P25)/P25</f>
        <v>0.10122801194822437</v>
      </c>
      <c r="P77" s="21">
        <f>(P25-10166)/10166</f>
        <v>0.18552036199095023</v>
      </c>
      <c r="Q77" s="23"/>
      <c r="R77" s="23"/>
      <c r="S77" s="3"/>
      <c r="T77" s="3"/>
      <c r="U77" s="3"/>
      <c r="V77" s="3"/>
    </row>
    <row r="78" spans="1:22" ht="11.25">
      <c r="A78" s="5" t="s">
        <v>67</v>
      </c>
      <c r="B78" s="5"/>
      <c r="C78" s="25">
        <f aca="true" t="shared" si="33" ref="C78:I78">(C40-G40)/G40</f>
        <v>-0.4701492537313433</v>
      </c>
      <c r="D78" s="25">
        <f t="shared" si="33"/>
        <v>-0.6727175654030967</v>
      </c>
      <c r="E78" s="25">
        <f t="shared" si="33"/>
        <v>-0.6900185988840669</v>
      </c>
      <c r="F78" s="26">
        <f t="shared" si="33"/>
        <v>-0.26796116504854367</v>
      </c>
      <c r="G78" s="25">
        <f t="shared" si="33"/>
        <v>0.08476190476190476</v>
      </c>
      <c r="H78" s="25">
        <f t="shared" si="33"/>
        <v>0.14767156862745098</v>
      </c>
      <c r="I78" s="25">
        <f t="shared" si="33"/>
        <v>0.5860373647984267</v>
      </c>
      <c r="J78" s="25">
        <f>J40/N40-1</f>
        <v>-0.2736248236953456</v>
      </c>
      <c r="K78" s="27">
        <f>K40/O40-1</f>
        <v>0.10584518167456558</v>
      </c>
      <c r="L78" s="25">
        <f>L40/1551-1</f>
        <v>0.05222437137330749</v>
      </c>
      <c r="M78" s="25">
        <f>M40/1146-1</f>
        <v>-0.11256544502617805</v>
      </c>
      <c r="N78" s="25">
        <f>N40/500-1</f>
        <v>0.4179999999999999</v>
      </c>
      <c r="O78" s="25">
        <f>O40/P40-1</f>
        <v>-0.07456140350877194</v>
      </c>
      <c r="P78" s="25">
        <f>(P40-1666)/1666</f>
        <v>0.23169267707082833</v>
      </c>
      <c r="Q78" s="23"/>
      <c r="R78" s="23"/>
      <c r="S78" s="3"/>
      <c r="T78" s="3"/>
      <c r="U78" s="3"/>
      <c r="V78" s="3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2017-06-16T16:01:15Z</dcterms:created>
  <dcterms:modified xsi:type="dcterms:W3CDTF">2017-06-16T16:01:19Z</dcterms:modified>
  <cp:category/>
  <cp:version/>
  <cp:contentType/>
  <cp:contentStatus/>
</cp:coreProperties>
</file>