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NP Paris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<sst xmlns="http://schemas.openxmlformats.org/spreadsheetml/2006/main" count="88" uniqueCount="67">
  <si>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CUADRO No. 18-43</t>
  </si>
  <si>
    <t>BNP PARIBAS (PANAMA), S.A. (1)</t>
  </si>
  <si>
    <t>ESTADISTICA FINANCIERA. TRIMESTRES  2000, 2001 Y 2002</t>
  </si>
  <si>
    <t>(En miles de balboas)</t>
  </si>
  <si>
    <t>Diciembre</t>
  </si>
  <si>
    <t>Septiembre</t>
  </si>
  <si>
    <t>Junio</t>
  </si>
  <si>
    <t>Marzo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</si>
  <si>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</si>
  <si>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</si>
  <si>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</si>
  <si>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</si>
  <si>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</si>
  <si>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</si>
  <si>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</si>
  <si>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</si>
  <si>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</si>
  <si>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</si>
  <si>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</si>
  <si>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</si>
  <si>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</si>
  <si>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</si>
  <si>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</si>
  <si>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</si>
  <si>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</si>
  <si>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</si>
  <si>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</si>
  <si>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</si>
  <si>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</si>
  <si>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</si>
  <si>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</si>
  <si>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</si>
  <si>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</si>
  <si>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</si>
  <si>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</si>
  <si>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</si>
  <si>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</si>
  <si>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</si>
  <si>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</si>
  <si>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</si>
  <si>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</si>
  <si>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</si>
  <si>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</si>
  <si>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</si>
  <si>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</si>
  <si>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</si>
  <si>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</si>
  <si>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</si>
  <si>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</si>
  <si>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</si>
  <si>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</si>
  <si>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</si>
  <si>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</si>
  <si>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</si>
  <si>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</si>
  <si>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</si>
  <si>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</si>
  <si>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</si>
  <si>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</si>
  <si>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</si>
  <si>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</si>
  <si>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</si>
  <si>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</si>
  <si>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</si>
  <si>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</si>
  <si>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</si>
  <si>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(1)  Este Banco hasta septiembre de 2002, era de Licencia Internacional.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</si>
</sst>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0" xfId="46" applyNumberFormat="1" applyFont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43" fontId="3" fillId="0" borderId="0" xfId="46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195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195" fontId="3" fillId="0" borderId="0" xfId="46" applyNumberFormat="1" applyFont="1" applyFill="1" applyAlignment="1">
      <alignment/>
    </xf>
    <xf numFmtId="195" fontId="3" fillId="0" borderId="0" xfId="46" applyNumberFormat="1" applyFont="1" applyFill="1" applyBorder="1" applyAlignment="1">
      <alignment/>
    </xf>
    <xf numFmtId="195" fontId="3" fillId="0" borderId="10" xfId="46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0" fontId="3" fillId="0" borderId="18" xfId="0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95" fontId="2" fillId="0" borderId="15" xfId="46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2.7109375" style="3" customWidth="1"/>
    <col min="2" max="2" width="27.00390625" style="3" customWidth="1"/>
    <col min="3" max="4" width="8.7109375" style="3" customWidth="1"/>
    <col min="5" max="6" width="7.57421875" style="3" customWidth="1"/>
    <col min="7" max="7" width="8.28125" style="3" customWidth="1"/>
    <col min="8" max="8" width="8.57421875" style="3" customWidth="1"/>
    <col min="9" max="9" width="7.57421875" style="3" customWidth="1"/>
    <col min="10" max="10" width="7.7109375" style="3" customWidth="1"/>
    <col min="11" max="11" width="8.28125" style="3" customWidth="1"/>
    <col min="12" max="12" width="7.7109375" style="3" bestFit="1" customWidth="1"/>
    <col min="13" max="13" width="8.00390625" style="3" customWidth="1"/>
    <col min="14" max="14" width="9.00390625" style="3" customWidth="1"/>
    <col min="15" max="16384" width="11.421875" style="1" customWidth="1"/>
  </cols>
  <sheetData>
    <row r="1" spans="2:14" ht="11.25">
      <c r="B1" s="52"/>
      <c r="C1" s="52"/>
      <c r="D1" s="52"/>
      <c r="E1" s="52"/>
      <c r="F1" s="52"/>
      <c r="G1" s="52" t="s">
        <v>0</v>
      </c>
      <c r="H1" s="52"/>
      <c r="I1" s="52"/>
      <c r="J1" s="52"/>
      <c r="K1" s="52"/>
      <c r="L1" s="52"/>
      <c r="M1" s="52"/>
      <c r="N1" s="52"/>
    </row>
    <row r="2" spans="2:14" ht="11.25">
      <c r="B2" s="52"/>
      <c r="C2" s="52"/>
      <c r="D2" s="52"/>
      <c r="E2" s="52"/>
      <c r="F2" s="52"/>
      <c r="G2" s="52" t="s">
        <v>1</v>
      </c>
      <c r="H2" s="52"/>
      <c r="I2" s="52"/>
      <c r="J2" s="52"/>
      <c r="K2" s="52"/>
      <c r="L2" s="52"/>
      <c r="M2" s="52"/>
      <c r="N2" s="52"/>
    </row>
    <row r="3" spans="2:14" ht="11.25">
      <c r="B3" s="52"/>
      <c r="C3" s="52"/>
      <c r="D3" s="52"/>
      <c r="E3" s="52"/>
      <c r="F3" s="52"/>
      <c r="G3" s="52" t="s">
        <v>2</v>
      </c>
      <c r="H3" s="52"/>
      <c r="I3" s="52"/>
      <c r="J3" s="52"/>
      <c r="K3" s="52"/>
      <c r="L3" s="52"/>
      <c r="M3" s="52"/>
      <c r="N3" s="52"/>
    </row>
    <row r="4" spans="1:14" ht="11.25">
      <c r="A4" s="1"/>
      <c r="B4" s="51"/>
      <c r="C4" s="51"/>
      <c r="D4" s="51"/>
      <c r="E4" s="51"/>
      <c r="F4" s="51"/>
      <c r="G4" s="51" t="s">
        <v>3</v>
      </c>
      <c r="H4" s="51"/>
      <c r="I4" s="51"/>
      <c r="J4" s="51"/>
      <c r="K4" s="51"/>
      <c r="L4" s="51"/>
      <c r="M4" s="51"/>
      <c r="N4" s="51"/>
    </row>
    <row r="5" spans="1:14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3" ht="11.25">
      <c r="A6" s="2"/>
      <c r="B6" s="2"/>
      <c r="C6" s="2"/>
    </row>
    <row r="7" spans="1:14" ht="12.75" customHeight="1">
      <c r="A7" s="4"/>
      <c r="B7" s="38"/>
      <c r="C7" s="53">
        <v>2002</v>
      </c>
      <c r="D7" s="53"/>
      <c r="E7" s="53"/>
      <c r="F7" s="55"/>
      <c r="G7" s="53">
        <v>2001</v>
      </c>
      <c r="H7" s="53"/>
      <c r="I7" s="53"/>
      <c r="J7" s="53"/>
      <c r="K7" s="54">
        <v>2000</v>
      </c>
      <c r="L7" s="53"/>
      <c r="M7" s="53"/>
      <c r="N7" s="55"/>
    </row>
    <row r="8" spans="1:14" ht="11.25">
      <c r="A8" s="5"/>
      <c r="B8" s="7"/>
      <c r="C8" s="6" t="s">
        <v>4</v>
      </c>
      <c r="D8" s="6" t="s">
        <v>5</v>
      </c>
      <c r="E8" s="5" t="s">
        <v>6</v>
      </c>
      <c r="F8" s="7" t="s">
        <v>7</v>
      </c>
      <c r="G8" s="6" t="s">
        <v>4</v>
      </c>
      <c r="H8" s="6" t="s">
        <v>5</v>
      </c>
      <c r="I8" s="5" t="s">
        <v>6</v>
      </c>
      <c r="J8" s="5" t="s">
        <v>7</v>
      </c>
      <c r="K8" s="8" t="s">
        <v>4</v>
      </c>
      <c r="L8" s="5" t="s">
        <v>5</v>
      </c>
      <c r="M8" s="5" t="s">
        <v>6</v>
      </c>
      <c r="N8" s="48" t="s">
        <v>7</v>
      </c>
    </row>
    <row r="9" spans="1:14" ht="11.25">
      <c r="A9" s="9" t="s">
        <v>8</v>
      </c>
      <c r="B9" s="11"/>
      <c r="C9" s="9"/>
      <c r="D9" s="9"/>
      <c r="E9" s="10"/>
      <c r="F9" s="11"/>
      <c r="G9" s="9"/>
      <c r="H9" s="9"/>
      <c r="I9" s="9"/>
      <c r="J9" s="12"/>
      <c r="K9" s="13"/>
      <c r="L9" s="14"/>
      <c r="M9" s="14"/>
      <c r="N9" s="49"/>
    </row>
    <row r="10" spans="1:14" ht="11.25">
      <c r="A10" s="3" t="s">
        <v>9</v>
      </c>
      <c r="B10" s="23"/>
      <c r="C10" s="15">
        <v>2018994</v>
      </c>
      <c r="D10" s="15">
        <v>1025954</v>
      </c>
      <c r="E10" s="16">
        <v>825103</v>
      </c>
      <c r="F10" s="17">
        <v>814387</v>
      </c>
      <c r="G10" s="15">
        <v>759927</v>
      </c>
      <c r="H10" s="15">
        <v>864921</v>
      </c>
      <c r="I10" s="15">
        <v>817172</v>
      </c>
      <c r="J10" s="15">
        <v>781799</v>
      </c>
      <c r="K10" s="18">
        <v>816856</v>
      </c>
      <c r="L10" s="16">
        <v>826751</v>
      </c>
      <c r="M10" s="16">
        <v>825825</v>
      </c>
      <c r="N10" s="17">
        <v>989508</v>
      </c>
    </row>
    <row r="11" spans="1:14" ht="11.25">
      <c r="A11" s="3" t="s">
        <v>10</v>
      </c>
      <c r="B11" s="23"/>
      <c r="C11" s="15">
        <v>772122</v>
      </c>
      <c r="D11" s="15">
        <v>135981</v>
      </c>
      <c r="E11" s="16">
        <v>77729</v>
      </c>
      <c r="F11" s="17">
        <v>30157</v>
      </c>
      <c r="G11" s="15">
        <v>20092</v>
      </c>
      <c r="H11" s="15">
        <v>66437</v>
      </c>
      <c r="I11" s="15">
        <v>48647</v>
      </c>
      <c r="J11" s="15">
        <v>47992</v>
      </c>
      <c r="K11" s="18">
        <v>48407</v>
      </c>
      <c r="L11" s="16">
        <v>2755</v>
      </c>
      <c r="M11" s="16">
        <v>11864</v>
      </c>
      <c r="N11" s="17">
        <v>67706</v>
      </c>
    </row>
    <row r="12" spans="1:14" ht="11.25">
      <c r="A12" s="3" t="s">
        <v>11</v>
      </c>
      <c r="B12" s="23"/>
      <c r="C12" s="16">
        <f aca="true" t="shared" si="0" ref="C12:N12">C13+C14</f>
        <v>1160575</v>
      </c>
      <c r="D12" s="16">
        <f t="shared" si="0"/>
        <v>838036</v>
      </c>
      <c r="E12" s="16">
        <f t="shared" si="0"/>
        <v>699838</v>
      </c>
      <c r="F12" s="17">
        <f t="shared" si="0"/>
        <v>741857</v>
      </c>
      <c r="G12" s="15">
        <f t="shared" si="0"/>
        <v>697674</v>
      </c>
      <c r="H12" s="15">
        <f t="shared" si="0"/>
        <v>754129</v>
      </c>
      <c r="I12" s="15">
        <f t="shared" si="0"/>
        <v>724737</v>
      </c>
      <c r="J12" s="15">
        <f t="shared" si="0"/>
        <v>686017</v>
      </c>
      <c r="K12" s="18">
        <f t="shared" si="0"/>
        <v>723184</v>
      </c>
      <c r="L12" s="16">
        <f t="shared" si="0"/>
        <v>807379</v>
      </c>
      <c r="M12" s="16">
        <f t="shared" si="0"/>
        <v>802557</v>
      </c>
      <c r="N12" s="17">
        <f t="shared" si="0"/>
        <v>904299</v>
      </c>
    </row>
    <row r="13" spans="2:14" ht="11.25">
      <c r="B13" s="23" t="s">
        <v>12</v>
      </c>
      <c r="C13" s="15">
        <v>160645</v>
      </c>
      <c r="D13" s="16">
        <v>0</v>
      </c>
      <c r="E13" s="16">
        <v>0</v>
      </c>
      <c r="F13" s="17">
        <v>0</v>
      </c>
      <c r="G13" s="19">
        <v>0</v>
      </c>
      <c r="H13" s="15">
        <v>0</v>
      </c>
      <c r="I13" s="15">
        <v>0</v>
      </c>
      <c r="J13" s="15">
        <v>0</v>
      </c>
      <c r="K13" s="18"/>
      <c r="L13" s="16">
        <v>0</v>
      </c>
      <c r="M13" s="16">
        <v>0</v>
      </c>
      <c r="N13" s="17">
        <v>0</v>
      </c>
    </row>
    <row r="14" spans="2:14" ht="11.25">
      <c r="B14" s="23" t="s">
        <v>13</v>
      </c>
      <c r="C14" s="15">
        <v>999930</v>
      </c>
      <c r="D14" s="15">
        <v>838036</v>
      </c>
      <c r="E14" s="16">
        <v>699838</v>
      </c>
      <c r="F14" s="17">
        <v>741857</v>
      </c>
      <c r="G14" s="15">
        <v>697674</v>
      </c>
      <c r="H14" s="15">
        <v>754129</v>
      </c>
      <c r="I14" s="15">
        <v>724737</v>
      </c>
      <c r="J14" s="15">
        <v>686017</v>
      </c>
      <c r="K14" s="18">
        <v>723184</v>
      </c>
      <c r="L14" s="16">
        <v>807379</v>
      </c>
      <c r="M14" s="16">
        <v>802557</v>
      </c>
      <c r="N14" s="17">
        <v>904299</v>
      </c>
    </row>
    <row r="15" spans="1:14" ht="11.25">
      <c r="A15" s="3" t="s">
        <v>14</v>
      </c>
      <c r="B15" s="23"/>
      <c r="C15" s="15">
        <v>57485</v>
      </c>
      <c r="D15" s="15">
        <v>40991</v>
      </c>
      <c r="E15" s="16">
        <v>40940</v>
      </c>
      <c r="F15" s="17">
        <v>35902</v>
      </c>
      <c r="G15" s="15">
        <v>36390</v>
      </c>
      <c r="H15" s="15">
        <v>35160</v>
      </c>
      <c r="I15" s="15">
        <v>35160</v>
      </c>
      <c r="J15" s="15">
        <v>35160</v>
      </c>
      <c r="K15" s="18">
        <v>35159</v>
      </c>
      <c r="L15" s="16">
        <v>159</v>
      </c>
      <c r="M15" s="16">
        <v>160</v>
      </c>
      <c r="N15" s="17">
        <v>160</v>
      </c>
    </row>
    <row r="16" spans="1:14" ht="11.25">
      <c r="A16" s="3" t="s">
        <v>15</v>
      </c>
      <c r="B16" s="23"/>
      <c r="C16" s="16">
        <f aca="true" t="shared" si="1" ref="C16:N16">C17+C21</f>
        <v>1910210</v>
      </c>
      <c r="D16" s="16">
        <f t="shared" si="1"/>
        <v>952205</v>
      </c>
      <c r="E16" s="16">
        <f t="shared" si="1"/>
        <v>760198</v>
      </c>
      <c r="F16" s="17">
        <f t="shared" si="1"/>
        <v>749391</v>
      </c>
      <c r="G16" s="15">
        <f t="shared" si="1"/>
        <v>697940</v>
      </c>
      <c r="H16" s="15">
        <f t="shared" si="1"/>
        <v>802447</v>
      </c>
      <c r="I16" s="15">
        <f t="shared" si="1"/>
        <v>759755</v>
      </c>
      <c r="J16" s="15">
        <f t="shared" si="1"/>
        <v>714685</v>
      </c>
      <c r="K16" s="18">
        <f t="shared" si="1"/>
        <v>753870</v>
      </c>
      <c r="L16" s="16">
        <f t="shared" si="1"/>
        <v>762722</v>
      </c>
      <c r="M16" s="16">
        <f t="shared" si="1"/>
        <v>761234</v>
      </c>
      <c r="N16" s="17">
        <f t="shared" si="1"/>
        <v>928369</v>
      </c>
    </row>
    <row r="17" spans="2:14" ht="11.25">
      <c r="B17" s="23" t="s">
        <v>12</v>
      </c>
      <c r="C17" s="16">
        <f aca="true" t="shared" si="2" ref="C17:N17">SUM(C18:C20)</f>
        <v>177477</v>
      </c>
      <c r="D17" s="16">
        <f t="shared" si="2"/>
        <v>2000</v>
      </c>
      <c r="E17" s="16">
        <f t="shared" si="2"/>
        <v>0</v>
      </c>
      <c r="F17" s="17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8">
        <f t="shared" si="2"/>
        <v>0</v>
      </c>
      <c r="L17" s="16">
        <f t="shared" si="2"/>
        <v>0</v>
      </c>
      <c r="M17" s="16">
        <f t="shared" si="2"/>
        <v>0</v>
      </c>
      <c r="N17" s="17">
        <f t="shared" si="2"/>
        <v>0</v>
      </c>
    </row>
    <row r="18" spans="2:14" ht="11.25">
      <c r="B18" s="23" t="s">
        <v>16</v>
      </c>
      <c r="C18" s="15">
        <v>0</v>
      </c>
      <c r="D18" s="16">
        <v>0</v>
      </c>
      <c r="E18" s="16">
        <v>0</v>
      </c>
      <c r="F18" s="17">
        <v>0</v>
      </c>
      <c r="G18" s="15">
        <v>0</v>
      </c>
      <c r="H18" s="15">
        <v>0</v>
      </c>
      <c r="I18" s="15">
        <v>0</v>
      </c>
      <c r="J18" s="15">
        <v>0</v>
      </c>
      <c r="K18" s="18">
        <v>0</v>
      </c>
      <c r="L18" s="16">
        <v>0</v>
      </c>
      <c r="M18" s="16">
        <v>0</v>
      </c>
      <c r="N18" s="17">
        <v>0</v>
      </c>
    </row>
    <row r="19" spans="2:14" ht="11.25">
      <c r="B19" s="23" t="s">
        <v>17</v>
      </c>
      <c r="C19" s="15">
        <v>163941</v>
      </c>
      <c r="D19" s="16">
        <v>0</v>
      </c>
      <c r="E19" s="16">
        <v>0</v>
      </c>
      <c r="F19" s="17">
        <v>0</v>
      </c>
      <c r="G19" s="15">
        <v>0</v>
      </c>
      <c r="H19" s="15">
        <v>0</v>
      </c>
      <c r="I19" s="15">
        <v>0</v>
      </c>
      <c r="J19" s="15">
        <v>0</v>
      </c>
      <c r="K19" s="18">
        <v>0</v>
      </c>
      <c r="L19" s="16">
        <v>0</v>
      </c>
      <c r="M19" s="16">
        <v>0</v>
      </c>
      <c r="N19" s="17">
        <v>0</v>
      </c>
    </row>
    <row r="20" spans="2:14" ht="11.25">
      <c r="B20" s="23" t="s">
        <v>18</v>
      </c>
      <c r="C20" s="15">
        <v>13536</v>
      </c>
      <c r="D20" s="15">
        <v>2000</v>
      </c>
      <c r="E20" s="16">
        <v>0</v>
      </c>
      <c r="F20" s="17">
        <v>0</v>
      </c>
      <c r="G20" s="15">
        <v>0</v>
      </c>
      <c r="H20" s="15">
        <v>0</v>
      </c>
      <c r="I20" s="15">
        <v>0</v>
      </c>
      <c r="J20" s="15">
        <v>0</v>
      </c>
      <c r="K20" s="18">
        <v>0</v>
      </c>
      <c r="L20" s="16">
        <v>0</v>
      </c>
      <c r="M20" s="16">
        <v>0</v>
      </c>
      <c r="N20" s="17">
        <v>0</v>
      </c>
    </row>
    <row r="21" spans="2:14" ht="11.25">
      <c r="B21" s="23" t="s">
        <v>13</v>
      </c>
      <c r="C21" s="16">
        <f>SUM(C22:C24)</f>
        <v>1732733</v>
      </c>
      <c r="D21" s="16">
        <f aca="true" t="shared" si="3" ref="D21:N21">SUM(D23:D24)</f>
        <v>950205</v>
      </c>
      <c r="E21" s="16">
        <f t="shared" si="3"/>
        <v>760198</v>
      </c>
      <c r="F21" s="17">
        <f t="shared" si="3"/>
        <v>749391</v>
      </c>
      <c r="G21" s="15">
        <f t="shared" si="3"/>
        <v>697940</v>
      </c>
      <c r="H21" s="15">
        <f t="shared" si="3"/>
        <v>802447</v>
      </c>
      <c r="I21" s="15">
        <f t="shared" si="3"/>
        <v>759755</v>
      </c>
      <c r="J21" s="15">
        <f t="shared" si="3"/>
        <v>714685</v>
      </c>
      <c r="K21" s="18">
        <f t="shared" si="3"/>
        <v>753870</v>
      </c>
      <c r="L21" s="16">
        <f t="shared" si="3"/>
        <v>762722</v>
      </c>
      <c r="M21" s="16">
        <f t="shared" si="3"/>
        <v>761234</v>
      </c>
      <c r="N21" s="17">
        <f t="shared" si="3"/>
        <v>928369</v>
      </c>
    </row>
    <row r="22" spans="2:14" ht="11.25">
      <c r="B22" s="23" t="s">
        <v>16</v>
      </c>
      <c r="C22" s="16">
        <v>0</v>
      </c>
      <c r="D22" s="16"/>
      <c r="E22" s="16"/>
      <c r="F22" s="17"/>
      <c r="G22" s="15"/>
      <c r="H22" s="15"/>
      <c r="I22" s="15"/>
      <c r="J22" s="15"/>
      <c r="K22" s="18"/>
      <c r="L22" s="16"/>
      <c r="M22" s="16"/>
      <c r="N22" s="17"/>
    </row>
    <row r="23" spans="2:14" ht="11.25">
      <c r="B23" s="23" t="s">
        <v>17</v>
      </c>
      <c r="C23" s="15">
        <v>233873</v>
      </c>
      <c r="D23" s="15">
        <v>160750</v>
      </c>
      <c r="E23" s="16">
        <v>167338</v>
      </c>
      <c r="F23" s="17">
        <f>35222+524042</f>
        <v>559264</v>
      </c>
      <c r="G23" s="15">
        <f>619544+28418</f>
        <v>647962</v>
      </c>
      <c r="H23" s="15">
        <f>667817+27995</f>
        <v>695812</v>
      </c>
      <c r="I23" s="15">
        <v>687011</v>
      </c>
      <c r="J23" s="15">
        <v>511939</v>
      </c>
      <c r="K23" s="18">
        <f>17904+652420</f>
        <v>670324</v>
      </c>
      <c r="L23" s="16">
        <v>682999</v>
      </c>
      <c r="M23" s="16">
        <v>665286</v>
      </c>
      <c r="N23" s="17">
        <v>644998</v>
      </c>
    </row>
    <row r="24" spans="2:14" ht="11.25">
      <c r="B24" s="23" t="s">
        <v>18</v>
      </c>
      <c r="C24" s="15">
        <v>1498860</v>
      </c>
      <c r="D24" s="15">
        <v>789455</v>
      </c>
      <c r="E24" s="16">
        <v>592860</v>
      </c>
      <c r="F24" s="17">
        <f>2598+173902+13000+627</f>
        <v>190127</v>
      </c>
      <c r="G24" s="15">
        <f>34908+13000+697+1373</f>
        <v>49978</v>
      </c>
      <c r="H24" s="15">
        <f>2659+398+53+103525</f>
        <v>106635</v>
      </c>
      <c r="I24" s="15">
        <v>72744</v>
      </c>
      <c r="J24" s="15">
        <v>202746</v>
      </c>
      <c r="K24" s="18">
        <f>5715+884+947+76000</f>
        <v>83546</v>
      </c>
      <c r="L24" s="16">
        <v>79723</v>
      </c>
      <c r="M24" s="16">
        <v>95948</v>
      </c>
      <c r="N24" s="17">
        <v>283371</v>
      </c>
    </row>
    <row r="25" spans="1:14" ht="11.25">
      <c r="A25" s="2" t="s">
        <v>19</v>
      </c>
      <c r="B25" s="50"/>
      <c r="C25" s="20">
        <v>34311</v>
      </c>
      <c r="D25" s="20">
        <v>31931</v>
      </c>
      <c r="E25" s="20">
        <v>29396</v>
      </c>
      <c r="F25" s="21">
        <v>36639</v>
      </c>
      <c r="G25" s="20">
        <v>33382</v>
      </c>
      <c r="H25" s="20">
        <v>34353</v>
      </c>
      <c r="I25" s="20">
        <v>32121</v>
      </c>
      <c r="J25" s="20">
        <v>41892</v>
      </c>
      <c r="K25" s="22">
        <v>38866</v>
      </c>
      <c r="L25" s="20">
        <v>35694</v>
      </c>
      <c r="M25" s="20">
        <v>33005</v>
      </c>
      <c r="N25" s="21">
        <v>30276</v>
      </c>
    </row>
    <row r="26" spans="1:14" ht="11.25">
      <c r="A26" s="9" t="s">
        <v>20</v>
      </c>
      <c r="B26" s="23"/>
      <c r="E26" s="16"/>
      <c r="F26" s="23"/>
      <c r="J26" s="15"/>
      <c r="K26" s="18"/>
      <c r="L26" s="16"/>
      <c r="M26" s="16"/>
      <c r="N26" s="17"/>
    </row>
    <row r="27" spans="1:14" ht="11.25">
      <c r="A27" s="3" t="s">
        <v>9</v>
      </c>
      <c r="B27" s="23"/>
      <c r="C27" s="16">
        <f aca="true" t="shared" si="4" ref="C27:I27">(C10+G10)/2</f>
        <v>1389460.5</v>
      </c>
      <c r="D27" s="16">
        <f t="shared" si="4"/>
        <v>945437.5</v>
      </c>
      <c r="E27" s="16">
        <f t="shared" si="4"/>
        <v>821137.5</v>
      </c>
      <c r="F27" s="17">
        <f t="shared" si="4"/>
        <v>798093</v>
      </c>
      <c r="G27" s="15">
        <f t="shared" si="4"/>
        <v>788391.5</v>
      </c>
      <c r="H27" s="15">
        <f t="shared" si="4"/>
        <v>845836</v>
      </c>
      <c r="I27" s="15">
        <f t="shared" si="4"/>
        <v>821498.5</v>
      </c>
      <c r="J27" s="15">
        <f>+(J10+N10)/2</f>
        <v>885653.5</v>
      </c>
      <c r="K27" s="18">
        <f>+(K10+O10)/2</f>
        <v>408428</v>
      </c>
      <c r="L27" s="16">
        <f>+(1030527+L10)/2</f>
        <v>928639</v>
      </c>
      <c r="M27" s="16">
        <f>+(1156017+M10)/2</f>
        <v>990921</v>
      </c>
      <c r="N27" s="17">
        <f>+(1308724+N10)/2</f>
        <v>1149116</v>
      </c>
    </row>
    <row r="28" spans="1:14" ht="11.25">
      <c r="A28" s="3" t="s">
        <v>21</v>
      </c>
      <c r="B28" s="23"/>
      <c r="C28" s="16">
        <f aca="true" t="shared" si="5" ref="C28:N28">C29+C30</f>
        <v>976062</v>
      </c>
      <c r="D28" s="16">
        <f t="shared" si="5"/>
        <v>834158</v>
      </c>
      <c r="E28" s="16">
        <f t="shared" si="5"/>
        <v>750337.5</v>
      </c>
      <c r="F28" s="17">
        <f t="shared" si="5"/>
        <v>749468</v>
      </c>
      <c r="G28" s="15">
        <f t="shared" si="5"/>
        <v>746203.5</v>
      </c>
      <c r="H28" s="15">
        <f t="shared" si="5"/>
        <v>798413.5</v>
      </c>
      <c r="I28" s="15">
        <f t="shared" si="5"/>
        <v>781307</v>
      </c>
      <c r="J28" s="15">
        <f t="shared" si="5"/>
        <v>812818</v>
      </c>
      <c r="K28" s="18">
        <f t="shared" si="5"/>
        <v>379171.5</v>
      </c>
      <c r="L28" s="16">
        <f t="shared" si="5"/>
        <v>864864</v>
      </c>
      <c r="M28" s="16">
        <f t="shared" si="5"/>
        <v>901890.5</v>
      </c>
      <c r="N28" s="17">
        <f t="shared" si="5"/>
        <v>1033235</v>
      </c>
    </row>
    <row r="29" spans="2:14" ht="11.25">
      <c r="B29" s="23" t="s">
        <v>11</v>
      </c>
      <c r="C29" s="16">
        <f aca="true" t="shared" si="6" ref="C29:I29">(C12+G12)/2</f>
        <v>929124.5</v>
      </c>
      <c r="D29" s="16">
        <f t="shared" si="6"/>
        <v>796082.5</v>
      </c>
      <c r="E29" s="16">
        <f t="shared" si="6"/>
        <v>712287.5</v>
      </c>
      <c r="F29" s="17">
        <f t="shared" si="6"/>
        <v>713937</v>
      </c>
      <c r="G29" s="15">
        <f t="shared" si="6"/>
        <v>710429</v>
      </c>
      <c r="H29" s="15">
        <f t="shared" si="6"/>
        <v>780754</v>
      </c>
      <c r="I29" s="15">
        <f t="shared" si="6"/>
        <v>763647</v>
      </c>
      <c r="J29" s="15">
        <f>+(J12+N12)/2</f>
        <v>795158</v>
      </c>
      <c r="K29" s="18">
        <f>+(K12+O12)/2</f>
        <v>361592</v>
      </c>
      <c r="L29" s="16">
        <f>+(921997+L12)/2</f>
        <v>864688</v>
      </c>
      <c r="M29" s="16">
        <f>+(1000871+M12)/2</f>
        <v>901714</v>
      </c>
      <c r="N29" s="17">
        <f>+(1161818+N12)/2</f>
        <v>1033058.5</v>
      </c>
    </row>
    <row r="30" spans="2:14" ht="11.25">
      <c r="B30" s="23" t="s">
        <v>14</v>
      </c>
      <c r="C30" s="16">
        <f aca="true" t="shared" si="7" ref="C30:I30">(C15+G15)/2</f>
        <v>46937.5</v>
      </c>
      <c r="D30" s="16">
        <f t="shared" si="7"/>
        <v>38075.5</v>
      </c>
      <c r="E30" s="16">
        <f t="shared" si="7"/>
        <v>38050</v>
      </c>
      <c r="F30" s="17">
        <f t="shared" si="7"/>
        <v>35531</v>
      </c>
      <c r="G30" s="15">
        <f t="shared" si="7"/>
        <v>35774.5</v>
      </c>
      <c r="H30" s="15">
        <f t="shared" si="7"/>
        <v>17659.5</v>
      </c>
      <c r="I30" s="15">
        <f t="shared" si="7"/>
        <v>17660</v>
      </c>
      <c r="J30" s="15">
        <f>+(J15+N15)/2</f>
        <v>17660</v>
      </c>
      <c r="K30" s="18">
        <f>+(K15+O15)/2</f>
        <v>17579.5</v>
      </c>
      <c r="L30" s="16">
        <f>+(193+L15)/2</f>
        <v>176</v>
      </c>
      <c r="M30" s="16">
        <f>+(193+M15)/2</f>
        <v>176.5</v>
      </c>
      <c r="N30" s="17">
        <f>+(193+N15)/2</f>
        <v>176.5</v>
      </c>
    </row>
    <row r="31" spans="1:14" ht="11.25">
      <c r="A31" s="2" t="s">
        <v>19</v>
      </c>
      <c r="B31" s="50"/>
      <c r="C31" s="20">
        <f aca="true" t="shared" si="8" ref="C31:I31">(C25+G25)/2</f>
        <v>33846.5</v>
      </c>
      <c r="D31" s="16">
        <f t="shared" si="8"/>
        <v>33142</v>
      </c>
      <c r="E31" s="16">
        <f t="shared" si="8"/>
        <v>30758.5</v>
      </c>
      <c r="F31" s="21">
        <f t="shared" si="8"/>
        <v>39265.5</v>
      </c>
      <c r="G31" s="20">
        <f t="shared" si="8"/>
        <v>36124</v>
      </c>
      <c r="H31" s="20">
        <f t="shared" si="8"/>
        <v>35023.5</v>
      </c>
      <c r="I31" s="20">
        <f t="shared" si="8"/>
        <v>32563</v>
      </c>
      <c r="J31" s="20">
        <f>+(J25+N25)/2</f>
        <v>36084</v>
      </c>
      <c r="K31" s="22">
        <f>+(K25+O25)/2</f>
        <v>19433</v>
      </c>
      <c r="L31" s="20">
        <f>+(29577+L25)/2</f>
        <v>32635.5</v>
      </c>
      <c r="M31" s="20">
        <f>+(26036+M25)/2</f>
        <v>29520.5</v>
      </c>
      <c r="N31" s="21">
        <f>+(22905+N25)/2</f>
        <v>26590.5</v>
      </c>
    </row>
    <row r="32" spans="1:14" ht="11.25">
      <c r="A32" s="9" t="s">
        <v>22</v>
      </c>
      <c r="B32" s="23"/>
      <c r="D32" s="4"/>
      <c r="E32" s="24"/>
      <c r="F32" s="23"/>
      <c r="J32" s="15"/>
      <c r="K32" s="25"/>
      <c r="L32" s="26"/>
      <c r="M32" s="26"/>
      <c r="N32" s="23"/>
    </row>
    <row r="33" spans="1:14" ht="11.25">
      <c r="A33" s="3" t="s">
        <v>23</v>
      </c>
      <c r="B33" s="23"/>
      <c r="C33" s="27">
        <v>4623</v>
      </c>
      <c r="D33" s="16">
        <v>22039</v>
      </c>
      <c r="E33" s="16">
        <v>14428</v>
      </c>
      <c r="F33" s="17">
        <v>7258</v>
      </c>
      <c r="G33" s="15">
        <v>47183</v>
      </c>
      <c r="H33" s="15">
        <v>38289</v>
      </c>
      <c r="I33" s="15">
        <v>27140</v>
      </c>
      <c r="J33" s="15">
        <v>14406</v>
      </c>
      <c r="K33" s="18">
        <v>63621</v>
      </c>
      <c r="L33" s="16">
        <v>48269</v>
      </c>
      <c r="M33" s="16">
        <v>32449</v>
      </c>
      <c r="N33" s="17">
        <v>16203</v>
      </c>
    </row>
    <row r="34" spans="1:14" ht="11.25">
      <c r="A34" s="3" t="s">
        <v>24</v>
      </c>
      <c r="B34" s="23"/>
      <c r="C34" s="27">
        <v>2936</v>
      </c>
      <c r="D34" s="16">
        <v>14016</v>
      </c>
      <c r="E34" s="16">
        <v>9210</v>
      </c>
      <c r="F34" s="17">
        <v>4491</v>
      </c>
      <c r="G34" s="15">
        <v>35761</v>
      </c>
      <c r="H34" s="15">
        <v>29821</v>
      </c>
      <c r="I34" s="15">
        <v>21608</v>
      </c>
      <c r="J34" s="15">
        <v>11785</v>
      </c>
      <c r="K34" s="18">
        <v>53375</v>
      </c>
      <c r="L34" s="16">
        <v>40564</v>
      </c>
      <c r="M34" s="16">
        <v>27224</v>
      </c>
      <c r="N34" s="17">
        <v>13689</v>
      </c>
    </row>
    <row r="35" spans="1:14" ht="11.25">
      <c r="A35" s="3" t="s">
        <v>25</v>
      </c>
      <c r="B35" s="23"/>
      <c r="C35" s="28">
        <f>C33-C34</f>
        <v>1687</v>
      </c>
      <c r="D35" s="16">
        <f>+D33-D34</f>
        <v>8023</v>
      </c>
      <c r="E35" s="16">
        <f>+E33-E34</f>
        <v>5218</v>
      </c>
      <c r="F35" s="17">
        <v>2767</v>
      </c>
      <c r="G35" s="15">
        <f>+G33-G34</f>
        <v>11422</v>
      </c>
      <c r="H35" s="15">
        <f aca="true" t="shared" si="9" ref="H35:N35">H33-H34</f>
        <v>8468</v>
      </c>
      <c r="I35" s="15">
        <f t="shared" si="9"/>
        <v>5532</v>
      </c>
      <c r="J35" s="15">
        <f t="shared" si="9"/>
        <v>2621</v>
      </c>
      <c r="K35" s="18">
        <f t="shared" si="9"/>
        <v>10246</v>
      </c>
      <c r="L35" s="16">
        <f t="shared" si="9"/>
        <v>7705</v>
      </c>
      <c r="M35" s="16">
        <f t="shared" si="9"/>
        <v>5225</v>
      </c>
      <c r="N35" s="17">
        <f t="shared" si="9"/>
        <v>2514</v>
      </c>
    </row>
    <row r="36" spans="1:14" ht="11.25">
      <c r="A36" s="3" t="s">
        <v>26</v>
      </c>
      <c r="B36" s="23"/>
      <c r="C36" s="27">
        <v>569</v>
      </c>
      <c r="D36" s="16">
        <v>6345</v>
      </c>
      <c r="E36" s="16">
        <v>3160</v>
      </c>
      <c r="F36" s="17">
        <v>1568</v>
      </c>
      <c r="G36" s="15">
        <v>8256</v>
      </c>
      <c r="H36" s="15">
        <v>6395</v>
      </c>
      <c r="I36" s="15">
        <v>4611</v>
      </c>
      <c r="J36" s="15">
        <v>1794</v>
      </c>
      <c r="K36" s="18">
        <v>6946</v>
      </c>
      <c r="L36" s="16">
        <v>5144</v>
      </c>
      <c r="M36" s="16">
        <v>3590</v>
      </c>
      <c r="N36" s="17">
        <v>2121</v>
      </c>
    </row>
    <row r="37" spans="1:14" ht="11.25">
      <c r="A37" s="3" t="s">
        <v>27</v>
      </c>
      <c r="B37" s="23"/>
      <c r="C37" s="28">
        <f>C35+C36</f>
        <v>2256</v>
      </c>
      <c r="D37" s="16">
        <f>+D36+D35</f>
        <v>14368</v>
      </c>
      <c r="E37" s="16">
        <f>+E36+E35</f>
        <v>8378</v>
      </c>
      <c r="F37" s="17">
        <v>4335</v>
      </c>
      <c r="G37" s="15">
        <f>+G35+G36</f>
        <v>19678</v>
      </c>
      <c r="H37" s="15">
        <f aca="true" t="shared" si="10" ref="H37:N37">H35+H36</f>
        <v>14863</v>
      </c>
      <c r="I37" s="15">
        <f t="shared" si="10"/>
        <v>10143</v>
      </c>
      <c r="J37" s="15">
        <f t="shared" si="10"/>
        <v>4415</v>
      </c>
      <c r="K37" s="18">
        <f t="shared" si="10"/>
        <v>17192</v>
      </c>
      <c r="L37" s="16">
        <f t="shared" si="10"/>
        <v>12849</v>
      </c>
      <c r="M37" s="16">
        <f t="shared" si="10"/>
        <v>8815</v>
      </c>
      <c r="N37" s="17">
        <f t="shared" si="10"/>
        <v>4635</v>
      </c>
    </row>
    <row r="38" spans="1:14" ht="11.25">
      <c r="A38" s="3" t="s">
        <v>28</v>
      </c>
      <c r="B38" s="23"/>
      <c r="C38" s="27">
        <v>900</v>
      </c>
      <c r="D38" s="16">
        <v>5505</v>
      </c>
      <c r="E38" s="16">
        <v>4096</v>
      </c>
      <c r="F38" s="17">
        <v>1078</v>
      </c>
      <c r="G38" s="15">
        <v>5523</v>
      </c>
      <c r="H38" s="15">
        <v>4015</v>
      </c>
      <c r="I38" s="15">
        <v>2726</v>
      </c>
      <c r="J38" s="15">
        <v>1338</v>
      </c>
      <c r="K38" s="18">
        <v>5341</v>
      </c>
      <c r="L38" s="16">
        <v>4166</v>
      </c>
      <c r="M38" s="16">
        <v>2822</v>
      </c>
      <c r="N38" s="17">
        <v>1372</v>
      </c>
    </row>
    <row r="39" spans="1:14" ht="11.25">
      <c r="A39" s="3" t="s">
        <v>29</v>
      </c>
      <c r="B39" s="23"/>
      <c r="C39" s="28">
        <f>C37-C38</f>
        <v>1356</v>
      </c>
      <c r="D39" s="16">
        <f>+D37-D38</f>
        <v>8863</v>
      </c>
      <c r="E39" s="16">
        <f>+E37-E38</f>
        <v>4282</v>
      </c>
      <c r="F39" s="17">
        <f>+F37-F38</f>
        <v>3257</v>
      </c>
      <c r="G39" s="15">
        <f>+G37-G38</f>
        <v>14155</v>
      </c>
      <c r="H39" s="15">
        <f>H37-H38</f>
        <v>10848</v>
      </c>
      <c r="I39" s="15">
        <v>7416</v>
      </c>
      <c r="J39" s="15">
        <f>J37-J38</f>
        <v>3077</v>
      </c>
      <c r="K39" s="18">
        <f>K37-K38</f>
        <v>11851</v>
      </c>
      <c r="L39" s="16">
        <f>L37-L38</f>
        <v>8683</v>
      </c>
      <c r="M39" s="16">
        <f>M37-M38</f>
        <v>5993</v>
      </c>
      <c r="N39" s="17">
        <f>N37-N38</f>
        <v>3263</v>
      </c>
    </row>
    <row r="40" spans="1:14" ht="11.25">
      <c r="A40" s="2" t="s">
        <v>30</v>
      </c>
      <c r="B40" s="50"/>
      <c r="C40" s="29">
        <v>1006</v>
      </c>
      <c r="D40" s="20">
        <v>6817</v>
      </c>
      <c r="E40" s="20">
        <v>4282</v>
      </c>
      <c r="F40" s="21">
        <v>3257</v>
      </c>
      <c r="G40" s="20">
        <f>+G39-5820</f>
        <v>8335</v>
      </c>
      <c r="H40" s="20">
        <v>9304</v>
      </c>
      <c r="I40" s="20">
        <v>7072</v>
      </c>
      <c r="J40" s="20">
        <v>3077</v>
      </c>
      <c r="K40" s="22">
        <v>11851</v>
      </c>
      <c r="L40" s="20">
        <v>8683</v>
      </c>
      <c r="M40" s="20">
        <v>5993</v>
      </c>
      <c r="N40" s="21">
        <v>3263</v>
      </c>
    </row>
    <row r="41" spans="1:14" ht="11.25">
      <c r="A41" s="9" t="s">
        <v>31</v>
      </c>
      <c r="B41" s="23"/>
      <c r="E41" s="16"/>
      <c r="F41" s="23"/>
      <c r="G41" s="26"/>
      <c r="H41" s="26"/>
      <c r="I41" s="15"/>
      <c r="J41" s="4"/>
      <c r="K41" s="30"/>
      <c r="L41" s="4"/>
      <c r="M41" s="4"/>
      <c r="N41" s="23"/>
    </row>
    <row r="42" spans="1:14" ht="11.25">
      <c r="A42" s="3" t="s">
        <v>32</v>
      </c>
      <c r="B42" s="23"/>
      <c r="C42" s="15">
        <v>0</v>
      </c>
      <c r="D42" s="15">
        <v>17973</v>
      </c>
      <c r="E42" s="16">
        <v>30465</v>
      </c>
      <c r="F42" s="17">
        <v>30616</v>
      </c>
      <c r="G42" s="16">
        <v>17910</v>
      </c>
      <c r="H42" s="15">
        <v>19325</v>
      </c>
      <c r="I42" s="15">
        <v>17883</v>
      </c>
      <c r="J42" s="16">
        <v>17875</v>
      </c>
      <c r="K42" s="18">
        <v>13651</v>
      </c>
      <c r="L42" s="16">
        <v>13651</v>
      </c>
      <c r="M42" s="16">
        <v>13859</v>
      </c>
      <c r="N42" s="17">
        <v>13651</v>
      </c>
    </row>
    <row r="43" spans="1:14" ht="11.25">
      <c r="A43" s="3" t="s">
        <v>33</v>
      </c>
      <c r="B43" s="23"/>
      <c r="C43" s="15">
        <v>0</v>
      </c>
      <c r="D43" s="15">
        <v>23398</v>
      </c>
      <c r="E43" s="16">
        <v>22552</v>
      </c>
      <c r="F43" s="17">
        <v>22552</v>
      </c>
      <c r="G43" s="16">
        <v>22552</v>
      </c>
      <c r="H43" s="15">
        <v>18751</v>
      </c>
      <c r="I43" s="15">
        <v>17551</v>
      </c>
      <c r="J43" s="16">
        <v>18667</v>
      </c>
      <c r="K43" s="18">
        <v>14583</v>
      </c>
      <c r="L43" s="16">
        <v>14583</v>
      </c>
      <c r="M43" s="16">
        <v>14583</v>
      </c>
      <c r="N43" s="17">
        <v>14583</v>
      </c>
    </row>
    <row r="44" spans="1:14" ht="11.25">
      <c r="A44" s="3" t="s">
        <v>34</v>
      </c>
      <c r="B44" s="23"/>
      <c r="C44" s="31">
        <v>0</v>
      </c>
      <c r="D44" s="31">
        <f aca="true" t="shared" si="11" ref="D44:I44">D42/D12</f>
        <v>0.02144657270093409</v>
      </c>
      <c r="E44" s="31">
        <f t="shared" si="11"/>
        <v>0.043531503004981154</v>
      </c>
      <c r="F44" s="32">
        <f t="shared" si="11"/>
        <v>0.04126940906401099</v>
      </c>
      <c r="G44" s="33">
        <f t="shared" si="11"/>
        <v>0.025671015402609243</v>
      </c>
      <c r="H44" s="33">
        <f t="shared" si="11"/>
        <v>0.025625589255949578</v>
      </c>
      <c r="I44" s="33">
        <f t="shared" si="11"/>
        <v>0.02467515802284139</v>
      </c>
      <c r="J44" s="31">
        <f>+J42/J12</f>
        <v>0.026056205604234297</v>
      </c>
      <c r="K44" s="34">
        <f>+K42/K12</f>
        <v>0.018876247262107567</v>
      </c>
      <c r="L44" s="31">
        <f>+L42/L12</f>
        <v>0.01690779671009526</v>
      </c>
      <c r="M44" s="31">
        <f>+M42/M12</f>
        <v>0.0172685553798671</v>
      </c>
      <c r="N44" s="32">
        <f>+N42/N12</f>
        <v>0.015095670790302764</v>
      </c>
    </row>
    <row r="45" spans="1:14" ht="11.25">
      <c r="A45" s="3" t="s">
        <v>35</v>
      </c>
      <c r="B45" s="23"/>
      <c r="C45" s="31">
        <v>0</v>
      </c>
      <c r="D45" s="31">
        <f aca="true" t="shared" si="12" ref="D45:N45">D43/D42</f>
        <v>1.3018416513659379</v>
      </c>
      <c r="E45" s="31">
        <f t="shared" si="12"/>
        <v>0.7402593139668472</v>
      </c>
      <c r="F45" s="32">
        <f t="shared" si="12"/>
        <v>0.736608309380716</v>
      </c>
      <c r="G45" s="31">
        <f t="shared" si="12"/>
        <v>1.2591848129536571</v>
      </c>
      <c r="H45" s="31">
        <f t="shared" si="12"/>
        <v>0.9702975420439844</v>
      </c>
      <c r="I45" s="31">
        <f t="shared" si="12"/>
        <v>0.9814348822904434</v>
      </c>
      <c r="J45" s="31">
        <f t="shared" si="12"/>
        <v>1.0443076923076924</v>
      </c>
      <c r="K45" s="34">
        <f t="shared" si="12"/>
        <v>1.0682733865650869</v>
      </c>
      <c r="L45" s="31">
        <f t="shared" si="12"/>
        <v>1.0682733865650869</v>
      </c>
      <c r="M45" s="31">
        <f t="shared" si="12"/>
        <v>1.0522404213868244</v>
      </c>
      <c r="N45" s="32">
        <f t="shared" si="12"/>
        <v>1.0682733865650869</v>
      </c>
    </row>
    <row r="46" spans="1:14" ht="11.25">
      <c r="A46" s="2" t="s">
        <v>36</v>
      </c>
      <c r="B46" s="50"/>
      <c r="C46" s="35">
        <v>0</v>
      </c>
      <c r="D46" s="35">
        <f aca="true" t="shared" si="13" ref="D46:I46">D43/D12</f>
        <v>0.027920041621123676</v>
      </c>
      <c r="E46" s="35">
        <f t="shared" si="13"/>
        <v>0.032224600550413096</v>
      </c>
      <c r="F46" s="36">
        <f t="shared" si="13"/>
        <v>0.03039938963978233</v>
      </c>
      <c r="G46" s="35">
        <f t="shared" si="13"/>
        <v>0.03232455272806497</v>
      </c>
      <c r="H46" s="35">
        <f t="shared" si="13"/>
        <v>0.024864446268476614</v>
      </c>
      <c r="I46" s="35">
        <f t="shared" si="13"/>
        <v>0.02421706080964543</v>
      </c>
      <c r="J46" s="35">
        <f>+J43/J12</f>
        <v>0.02721069594485268</v>
      </c>
      <c r="K46" s="37">
        <f>14583/K12</f>
        <v>0.020164992588331602</v>
      </c>
      <c r="L46" s="35">
        <f>14583/L12</f>
        <v>0.018062149250847495</v>
      </c>
      <c r="M46" s="35">
        <f>14583/M12</f>
        <v>0.01817067198965307</v>
      </c>
      <c r="N46" s="36">
        <f>14583/N12</f>
        <v>0.016126303357628394</v>
      </c>
    </row>
    <row r="47" spans="1:14" ht="11.25">
      <c r="A47" s="9" t="s">
        <v>37</v>
      </c>
      <c r="B47" s="23"/>
      <c r="E47" s="16"/>
      <c r="F47" s="23"/>
      <c r="G47" s="4"/>
      <c r="H47" s="4"/>
      <c r="I47" s="4"/>
      <c r="J47" s="38"/>
      <c r="K47" s="30"/>
      <c r="L47" s="4"/>
      <c r="M47" s="4"/>
      <c r="N47" s="23"/>
    </row>
    <row r="48" spans="1:14" ht="11.25">
      <c r="A48" s="3" t="s">
        <v>38</v>
      </c>
      <c r="B48" s="23"/>
      <c r="C48" s="31">
        <f>C25/(C12+C15)</f>
        <v>0.028168563124969213</v>
      </c>
      <c r="D48" s="31">
        <f>+D25/D12</f>
        <v>0.03810218176784768</v>
      </c>
      <c r="E48" s="31">
        <f>+E25/E12</f>
        <v>0.04200400664153704</v>
      </c>
      <c r="F48" s="32">
        <f aca="true" t="shared" si="14" ref="F48:N48">F25/F12</f>
        <v>0.04938822441521749</v>
      </c>
      <c r="G48" s="31">
        <f t="shared" si="14"/>
        <v>0.04784756204187056</v>
      </c>
      <c r="H48" s="31">
        <f t="shared" si="14"/>
        <v>0.045553214370485685</v>
      </c>
      <c r="I48" s="31">
        <f t="shared" si="14"/>
        <v>0.04432090537670907</v>
      </c>
      <c r="J48" s="32">
        <f t="shared" si="14"/>
        <v>0.0610655421075571</v>
      </c>
      <c r="K48" s="34">
        <f t="shared" si="14"/>
        <v>0.053742892541870396</v>
      </c>
      <c r="L48" s="31">
        <f t="shared" si="14"/>
        <v>0.044209720589710656</v>
      </c>
      <c r="M48" s="31">
        <f t="shared" si="14"/>
        <v>0.04112480484252209</v>
      </c>
      <c r="N48" s="32">
        <f t="shared" si="14"/>
        <v>0.0334800768329944</v>
      </c>
    </row>
    <row r="49" spans="1:14" ht="11.25">
      <c r="A49" s="2" t="s">
        <v>39</v>
      </c>
      <c r="B49" s="50"/>
      <c r="C49" s="35">
        <f>C25/C10</f>
        <v>0.016994106966142543</v>
      </c>
      <c r="D49" s="35">
        <f aca="true" t="shared" si="15" ref="D49:N49">D25/(D12+D15)</f>
        <v>0.03632539159775525</v>
      </c>
      <c r="E49" s="35">
        <f t="shared" si="15"/>
        <v>0.03968260396502056</v>
      </c>
      <c r="F49" s="36">
        <f t="shared" si="15"/>
        <v>0.04710842304621354</v>
      </c>
      <c r="G49" s="35">
        <f t="shared" si="15"/>
        <v>0.04547559885786526</v>
      </c>
      <c r="H49" s="35">
        <f t="shared" si="15"/>
        <v>0.04352398171012139</v>
      </c>
      <c r="I49" s="35">
        <f t="shared" si="15"/>
        <v>0.04227020240901069</v>
      </c>
      <c r="J49" s="36">
        <f t="shared" si="15"/>
        <v>0.05808837497590744</v>
      </c>
      <c r="K49" s="37">
        <f t="shared" si="15"/>
        <v>0.051251214819679224</v>
      </c>
      <c r="L49" s="35">
        <f t="shared" si="15"/>
        <v>0.04420101592742385</v>
      </c>
      <c r="M49" s="35">
        <f t="shared" si="15"/>
        <v>0.04111660772102746</v>
      </c>
      <c r="N49" s="36">
        <f t="shared" si="15"/>
        <v>0.03347415416287527</v>
      </c>
    </row>
    <row r="50" spans="1:14" ht="11.25">
      <c r="A50" s="9" t="s">
        <v>40</v>
      </c>
      <c r="B50" s="23"/>
      <c r="D50" s="16"/>
      <c r="E50" s="16"/>
      <c r="F50" s="23"/>
      <c r="K50" s="25"/>
      <c r="L50" s="26"/>
      <c r="M50" s="26"/>
      <c r="N50" s="23"/>
    </row>
    <row r="51" spans="1:14" ht="11.25">
      <c r="A51" s="3" t="s">
        <v>41</v>
      </c>
      <c r="B51" s="23"/>
      <c r="C51" s="39">
        <f aca="true" t="shared" si="16" ref="C51:N51">C11/C16</f>
        <v>0.404207914313086</v>
      </c>
      <c r="D51" s="31">
        <f t="shared" si="16"/>
        <v>0.14280643348858701</v>
      </c>
      <c r="E51" s="31">
        <f t="shared" si="16"/>
        <v>0.10224836161105397</v>
      </c>
      <c r="F51" s="40">
        <f t="shared" si="16"/>
        <v>0.04024200984532774</v>
      </c>
      <c r="G51" s="41">
        <f t="shared" si="16"/>
        <v>0.028787574863168755</v>
      </c>
      <c r="H51" s="41">
        <f t="shared" si="16"/>
        <v>0.08279300689017467</v>
      </c>
      <c r="I51" s="41">
        <f t="shared" si="16"/>
        <v>0.06402985172851774</v>
      </c>
      <c r="J51" s="33">
        <f t="shared" si="16"/>
        <v>0.06715126244429365</v>
      </c>
      <c r="K51" s="34">
        <f t="shared" si="16"/>
        <v>0.06421133617201905</v>
      </c>
      <c r="L51" s="31">
        <f t="shared" si="16"/>
        <v>0.003612063110805772</v>
      </c>
      <c r="M51" s="31">
        <f t="shared" si="16"/>
        <v>0.015585220838795955</v>
      </c>
      <c r="N51" s="32">
        <f t="shared" si="16"/>
        <v>0.07293005259762013</v>
      </c>
    </row>
    <row r="52" spans="1:14" ht="11.25">
      <c r="A52" s="3" t="s">
        <v>42</v>
      </c>
      <c r="B52" s="23"/>
      <c r="C52" s="39">
        <f aca="true" t="shared" si="17" ref="C52:N52">C11/C10</f>
        <v>0.38242907111165264</v>
      </c>
      <c r="D52" s="31">
        <f t="shared" si="17"/>
        <v>0.13254103010466356</v>
      </c>
      <c r="E52" s="31">
        <f t="shared" si="17"/>
        <v>0.09420520831944618</v>
      </c>
      <c r="F52" s="40">
        <f t="shared" si="17"/>
        <v>0.037030306230330295</v>
      </c>
      <c r="G52" s="41">
        <f t="shared" si="17"/>
        <v>0.026439381677450597</v>
      </c>
      <c r="H52" s="41">
        <f t="shared" si="17"/>
        <v>0.07681279561948433</v>
      </c>
      <c r="I52" s="41">
        <f t="shared" si="17"/>
        <v>0.059530918827370494</v>
      </c>
      <c r="J52" s="33">
        <f t="shared" si="17"/>
        <v>0.06138662239271219</v>
      </c>
      <c r="K52" s="34">
        <f t="shared" si="17"/>
        <v>0.05926013887392637</v>
      </c>
      <c r="L52" s="31">
        <f t="shared" si="17"/>
        <v>0.003332321339798803</v>
      </c>
      <c r="M52" s="31">
        <f t="shared" si="17"/>
        <v>0.014366239820785276</v>
      </c>
      <c r="N52" s="32">
        <f t="shared" si="17"/>
        <v>0.06842390359653484</v>
      </c>
    </row>
    <row r="53" spans="1:14" ht="11.25">
      <c r="A53" s="2" t="s">
        <v>43</v>
      </c>
      <c r="B53" s="50"/>
      <c r="C53" s="42">
        <f aca="true" t="shared" si="18" ref="C53:N53">(C11+C15)/C16</f>
        <v>0.43430146423691635</v>
      </c>
      <c r="D53" s="35">
        <f t="shared" si="18"/>
        <v>0.18585493669955525</v>
      </c>
      <c r="E53" s="35">
        <f t="shared" si="18"/>
        <v>0.15610275217772213</v>
      </c>
      <c r="F53" s="43">
        <f t="shared" si="18"/>
        <v>0.08815024466533491</v>
      </c>
      <c r="G53" s="42">
        <f t="shared" si="18"/>
        <v>0.08092672722583603</v>
      </c>
      <c r="H53" s="42">
        <f t="shared" si="18"/>
        <v>0.12660898476784135</v>
      </c>
      <c r="I53" s="42">
        <f t="shared" si="18"/>
        <v>0.11030792821370047</v>
      </c>
      <c r="J53" s="35">
        <f t="shared" si="18"/>
        <v>0.11634776160126489</v>
      </c>
      <c r="K53" s="37">
        <f t="shared" si="18"/>
        <v>0.1108493506838049</v>
      </c>
      <c r="L53" s="35">
        <f t="shared" si="18"/>
        <v>0.003820527007218882</v>
      </c>
      <c r="M53" s="35">
        <f t="shared" si="18"/>
        <v>0.015795405880452</v>
      </c>
      <c r="N53" s="36">
        <f t="shared" si="18"/>
        <v>0.07310239786119528</v>
      </c>
    </row>
    <row r="54" spans="1:14" ht="11.25">
      <c r="A54" s="9" t="s">
        <v>44</v>
      </c>
      <c r="B54" s="23"/>
      <c r="D54" s="16"/>
      <c r="E54" s="16"/>
      <c r="F54" s="23"/>
      <c r="K54" s="25"/>
      <c r="L54" s="26"/>
      <c r="M54" s="26"/>
      <c r="N54" s="23"/>
    </row>
    <row r="55" spans="1:14" ht="11.25">
      <c r="A55" s="3" t="s">
        <v>45</v>
      </c>
      <c r="B55" s="23"/>
      <c r="C55" s="31">
        <v>0</v>
      </c>
      <c r="D55" s="31">
        <f>(D40/0.75)/D28</f>
        <v>0.010896416905829992</v>
      </c>
      <c r="E55" s="31">
        <f>(E40/0.5)/E28</f>
        <v>0.011413530577906608</v>
      </c>
      <c r="F55" s="32">
        <f>((F40)/0.25)/F28</f>
        <v>0.01738299700587617</v>
      </c>
      <c r="G55" s="44">
        <f>G40/G28</f>
        <v>0.011169875241807362</v>
      </c>
      <c r="H55" s="44">
        <f>(H40/0.75)/H28</f>
        <v>0.015537479430562402</v>
      </c>
      <c r="I55" s="33">
        <f>(I40/0.5)/I28</f>
        <v>0.01810299920517799</v>
      </c>
      <c r="J55" s="33">
        <f>((J40)/0.25)/J28</f>
        <v>0.015142381197266793</v>
      </c>
      <c r="K55" s="45">
        <f>K40/K28</f>
        <v>0.03125498620017591</v>
      </c>
      <c r="L55" s="44">
        <f>(L40/0.75)/L28</f>
        <v>0.01338630505297172</v>
      </c>
      <c r="M55" s="44">
        <f>(M40/0.5)/M28</f>
        <v>0.013289861684982822</v>
      </c>
      <c r="N55" s="32">
        <f>((N40)/0.25)/N28</f>
        <v>0.012632169835516606</v>
      </c>
    </row>
    <row r="56" spans="1:14" ht="11.25">
      <c r="A56" s="3" t="s">
        <v>46</v>
      </c>
      <c r="B56" s="23"/>
      <c r="C56" s="31">
        <v>0</v>
      </c>
      <c r="D56" s="31">
        <f>(D40/0.75)/D27</f>
        <v>0.009613891276084705</v>
      </c>
      <c r="E56" s="31">
        <f>(E40/0.5)/E27</f>
        <v>0.010429434777975675</v>
      </c>
      <c r="F56" s="32">
        <f>((F40)/0.25)/F27</f>
        <v>0.01632391212552923</v>
      </c>
      <c r="G56" s="44">
        <f>G40/G27</f>
        <v>0.010572158629310437</v>
      </c>
      <c r="H56" s="44">
        <f>(H40/0.75)/H27</f>
        <v>0.014666357702123501</v>
      </c>
      <c r="I56" s="33">
        <f>(I40/0.5)/I27</f>
        <v>0.01721731689102293</v>
      </c>
      <c r="J56" s="33">
        <f>((J40)/0.25)/J27</f>
        <v>0.013897082775600164</v>
      </c>
      <c r="K56" s="45">
        <f>K40/K27</f>
        <v>0.029016130137992497</v>
      </c>
      <c r="L56" s="44">
        <f>(L40/0.75)/L27</f>
        <v>0.01246699022260893</v>
      </c>
      <c r="M56" s="44">
        <f>(M40/0.5)/M27</f>
        <v>0.012095817930995508</v>
      </c>
      <c r="N56" s="32">
        <f>((N40)/0.25)/N27</f>
        <v>0.011358296290365812</v>
      </c>
    </row>
    <row r="57" spans="1:14" ht="11.25">
      <c r="A57" s="3" t="s">
        <v>47</v>
      </c>
      <c r="B57" s="23"/>
      <c r="C57" s="31">
        <v>0</v>
      </c>
      <c r="D57" s="31">
        <f>(D40/0.75)/D31</f>
        <v>0.2742542192183131</v>
      </c>
      <c r="E57" s="31">
        <f>(E40/0.5)/E31</f>
        <v>0.27842710145163124</v>
      </c>
      <c r="F57" s="32">
        <f>((F40)/0.25)/F31</f>
        <v>0.33179254052539764</v>
      </c>
      <c r="G57" s="44">
        <f>+G40/G31</f>
        <v>0.23073303067212933</v>
      </c>
      <c r="H57" s="44">
        <f>(H40/0.75)/H31</f>
        <v>0.35420027505341656</v>
      </c>
      <c r="I57" s="33">
        <f>(I40/0.5)/I31</f>
        <v>0.4343580136965267</v>
      </c>
      <c r="J57" s="33">
        <f>((J40)/0.25)/J31</f>
        <v>0.3410930052100654</v>
      </c>
      <c r="K57" s="45">
        <f>+K40/K31</f>
        <v>0.6098389337724489</v>
      </c>
      <c r="L57" s="44">
        <f>(L40/0.75)/L31</f>
        <v>0.3547466205001711</v>
      </c>
      <c r="M57" s="44">
        <f>(M40/0.5)/M31</f>
        <v>0.4060229332159008</v>
      </c>
      <c r="N57" s="32">
        <f>((N40)/0.25)/N31</f>
        <v>0.4908519960136139</v>
      </c>
    </row>
    <row r="58" spans="1:14" ht="11.25">
      <c r="A58" s="3" t="s">
        <v>48</v>
      </c>
      <c r="B58" s="23"/>
      <c r="C58" s="31">
        <v>0</v>
      </c>
      <c r="D58" s="31">
        <f>(D33/0.75)/D28</f>
        <v>0.03522753882757623</v>
      </c>
      <c r="E58" s="31">
        <f>(E33/0.5)/E28</f>
        <v>0.03845736085428224</v>
      </c>
      <c r="F58" s="32">
        <f>((F33)/0.25)/F28</f>
        <v>0.038736810644350396</v>
      </c>
      <c r="G58" s="44">
        <f>G33/G28</f>
        <v>0.06323074067596841</v>
      </c>
      <c r="H58" s="44">
        <f>(H33/0.75)/H28</f>
        <v>0.06394180459122999</v>
      </c>
      <c r="I58" s="33">
        <f>(I33/0.5)/I28</f>
        <v>0.06947333122575376</v>
      </c>
      <c r="J58" s="33">
        <f>((J33)/0.25)/J28</f>
        <v>0.0708940992940609</v>
      </c>
      <c r="K58" s="45">
        <f>K33/K28</f>
        <v>0.16778950949636245</v>
      </c>
      <c r="L58" s="44">
        <f>(L33/0.75)/L28</f>
        <v>0.07441478274811608</v>
      </c>
      <c r="M58" s="44">
        <f>(M33/0.5)/M28</f>
        <v>0.07195773766327508</v>
      </c>
      <c r="N58" s="32">
        <f>((N33)/0.25)/N28</f>
        <v>0.06272725952953588</v>
      </c>
    </row>
    <row r="59" spans="1:14" ht="11.25">
      <c r="A59" s="3" t="s">
        <v>49</v>
      </c>
      <c r="B59" s="23"/>
      <c r="C59" s="31">
        <v>0</v>
      </c>
      <c r="D59" s="31">
        <f>(D34/0.75)/D28</f>
        <v>0.022403429566101387</v>
      </c>
      <c r="E59" s="31">
        <f>(E34/0.5)/E28</f>
        <v>0.024548952971162975</v>
      </c>
      <c r="F59" s="32">
        <f>((F34)/0.25)/F28</f>
        <v>0.023969002012093912</v>
      </c>
      <c r="G59" s="44">
        <f>G34/G28</f>
        <v>0.047923924237825204</v>
      </c>
      <c r="H59" s="44">
        <f>(H34/0.75)/H28</f>
        <v>0.04980042713873618</v>
      </c>
      <c r="I59" s="33">
        <f>(I34/0.5)/I28</f>
        <v>0.05531244440405628</v>
      </c>
      <c r="J59" s="33">
        <f>((J34)/0.25)/J28</f>
        <v>0.057995762889109244</v>
      </c>
      <c r="K59" s="45">
        <f>K34/K28</f>
        <v>0.14076743637114075</v>
      </c>
      <c r="L59" s="44">
        <f>(L34/0.75)/L28</f>
        <v>0.06253622920289587</v>
      </c>
      <c r="M59" s="44">
        <f>(M34/0.5)/M28</f>
        <v>0.0603709652114087</v>
      </c>
      <c r="N59" s="32">
        <f>((N34)/0.25)/N28</f>
        <v>0.052994720465334606</v>
      </c>
    </row>
    <row r="60" spans="1:14" ht="11.25">
      <c r="A60" s="3" t="s">
        <v>50</v>
      </c>
      <c r="B60" s="23"/>
      <c r="C60" s="31">
        <v>0</v>
      </c>
      <c r="D60" s="31">
        <f>(D35/0.75)/D28</f>
        <v>0.012824109261474845</v>
      </c>
      <c r="E60" s="31">
        <f>(E35/0.5)/E28</f>
        <v>0.013908407883119263</v>
      </c>
      <c r="F60" s="32">
        <f>((F35)/0.25)/F28</f>
        <v>0.01476780863225648</v>
      </c>
      <c r="G60" s="44">
        <f>G35/G28</f>
        <v>0.015306816438143214</v>
      </c>
      <c r="H60" s="44">
        <f>(H35/0.75)/H28</f>
        <v>0.01414137745249381</v>
      </c>
      <c r="I60" s="33">
        <f>(I35/0.5)/I28</f>
        <v>0.014160886821697489</v>
      </c>
      <c r="J60" s="33">
        <f>((J35)/0.25)/J28</f>
        <v>0.012898336404951662</v>
      </c>
      <c r="K60" s="45">
        <f>K35/K28</f>
        <v>0.0270220731252217</v>
      </c>
      <c r="L60" s="44">
        <f>(L35/0.75)/L28</f>
        <v>0.011878553545220213</v>
      </c>
      <c r="M60" s="44">
        <f>(M35/0.5)/M28</f>
        <v>0.011586772451866385</v>
      </c>
      <c r="N60" s="32">
        <f>((N35)/0.25)/N28</f>
        <v>0.009732539064201271</v>
      </c>
    </row>
    <row r="61" spans="1:14" ht="11.25">
      <c r="A61" s="3" t="s">
        <v>51</v>
      </c>
      <c r="B61" s="23"/>
      <c r="C61" s="31">
        <f>(C38)/(C37)</f>
        <v>0.39893617021276595</v>
      </c>
      <c r="D61" s="31">
        <f>(D38/0.75)/(D37/0.75)</f>
        <v>0.3831430957683742</v>
      </c>
      <c r="E61" s="31">
        <f>(E38/0.5)/(E37/0.5)</f>
        <v>0.48889949868703747</v>
      </c>
      <c r="F61" s="32">
        <f>(F38/0.25)/(F37/0.25)</f>
        <v>0.24867358708189158</v>
      </c>
      <c r="G61" s="44">
        <f>G38/G37</f>
        <v>0.28066876715113326</v>
      </c>
      <c r="H61" s="44">
        <f>(H38/0.75)/(H37/0.75)</f>
        <v>0.27013388952432216</v>
      </c>
      <c r="I61" s="33">
        <f>(I38/0.5)/(I37/0.5)</f>
        <v>0.26875677807354825</v>
      </c>
      <c r="J61" s="33">
        <f>(J38/0.25)/(J37/0.25)</f>
        <v>0.30305775764439413</v>
      </c>
      <c r="K61" s="45">
        <f>K38/K37</f>
        <v>0.31066775244299677</v>
      </c>
      <c r="L61" s="44">
        <f>(L38/0.75)/(L37/0.75)</f>
        <v>0.3242275663475757</v>
      </c>
      <c r="M61" s="44">
        <f>(M38/0.5)/(M37/0.5)</f>
        <v>0.32013613159387405</v>
      </c>
      <c r="N61" s="32">
        <f>(N38/0.25)/(N37/0.25)</f>
        <v>0.2960086299892125</v>
      </c>
    </row>
    <row r="62" spans="1:14" ht="11.25">
      <c r="A62" s="2" t="s">
        <v>52</v>
      </c>
      <c r="B62" s="50"/>
      <c r="C62" s="35">
        <v>0</v>
      </c>
      <c r="D62" s="35">
        <f>(D36/0.75)/D28</f>
        <v>0.010141963512907626</v>
      </c>
      <c r="E62" s="35">
        <f>(E36/0.5)/E28</f>
        <v>0.008422876372299132</v>
      </c>
      <c r="F62" s="36">
        <f>(F36/0.25)/F28</f>
        <v>0.008368602795583</v>
      </c>
      <c r="G62" s="46">
        <f>G36/G28</f>
        <v>0.011064005998363716</v>
      </c>
      <c r="H62" s="46">
        <f>(H36/0.75)/H28</f>
        <v>0.010679512140847652</v>
      </c>
      <c r="I62" s="35">
        <f>(I36/0.5)/I28</f>
        <v>0.011803298831317267</v>
      </c>
      <c r="J62" s="35">
        <f>(J36/0.25)/J28</f>
        <v>0.008828544643450318</v>
      </c>
      <c r="K62" s="47">
        <f>K36/K28</f>
        <v>0.018318887363633605</v>
      </c>
      <c r="L62" s="46">
        <f>(L36/0.75)/L28</f>
        <v>0.007930341263674597</v>
      </c>
      <c r="M62" s="46">
        <f>(M36/0.5)/M28</f>
        <v>0.007961055139177095</v>
      </c>
      <c r="N62" s="36">
        <f>(N36/0.25)/N28</f>
        <v>0.008211103959892958</v>
      </c>
    </row>
    <row r="63" spans="1:14" ht="11.25">
      <c r="A63" s="9" t="s">
        <v>53</v>
      </c>
      <c r="B63" s="23"/>
      <c r="E63" s="16"/>
      <c r="F63" s="23"/>
      <c r="K63" s="25"/>
      <c r="L63" s="26"/>
      <c r="M63" s="26"/>
      <c r="N63" s="23"/>
    </row>
    <row r="64" spans="1:14" ht="11.25">
      <c r="A64" s="3" t="s">
        <v>54</v>
      </c>
      <c r="B64" s="23"/>
      <c r="C64" s="15">
        <v>175</v>
      </c>
      <c r="D64" s="15">
        <v>52</v>
      </c>
      <c r="E64" s="16">
        <v>51</v>
      </c>
      <c r="F64" s="23">
        <v>51</v>
      </c>
      <c r="G64" s="3">
        <f>47+3</f>
        <v>50</v>
      </c>
      <c r="H64" s="15">
        <v>49</v>
      </c>
      <c r="I64" s="15">
        <v>47</v>
      </c>
      <c r="J64" s="3">
        <v>48</v>
      </c>
      <c r="K64" s="18">
        <v>45</v>
      </c>
      <c r="L64" s="16">
        <v>44</v>
      </c>
      <c r="M64" s="16">
        <v>42</v>
      </c>
      <c r="N64" s="17">
        <v>41</v>
      </c>
    </row>
    <row r="65" spans="1:14" ht="11.25">
      <c r="A65" s="3" t="s">
        <v>55</v>
      </c>
      <c r="B65" s="23"/>
      <c r="C65" s="15">
        <v>1</v>
      </c>
      <c r="D65" s="15">
        <v>1</v>
      </c>
      <c r="E65" s="16">
        <v>1</v>
      </c>
      <c r="F65" s="23">
        <v>1</v>
      </c>
      <c r="G65" s="3">
        <v>1</v>
      </c>
      <c r="H65" s="15">
        <v>1</v>
      </c>
      <c r="I65" s="15">
        <v>1</v>
      </c>
      <c r="J65" s="3">
        <v>1</v>
      </c>
      <c r="K65" s="18">
        <v>1</v>
      </c>
      <c r="L65" s="16">
        <v>1</v>
      </c>
      <c r="M65" s="16">
        <v>1</v>
      </c>
      <c r="N65" s="17">
        <v>1</v>
      </c>
    </row>
    <row r="66" spans="1:14" ht="11.25">
      <c r="A66" s="3" t="s">
        <v>56</v>
      </c>
      <c r="B66" s="23"/>
      <c r="C66" s="16">
        <f aca="true" t="shared" si="19" ref="C66:N66">C12/C64</f>
        <v>6631.857142857143</v>
      </c>
      <c r="D66" s="16">
        <f t="shared" si="19"/>
        <v>16116.076923076924</v>
      </c>
      <c r="E66" s="16">
        <f t="shared" si="19"/>
        <v>13722.313725490196</v>
      </c>
      <c r="F66" s="17">
        <f t="shared" si="19"/>
        <v>14546.21568627451</v>
      </c>
      <c r="G66" s="15">
        <f t="shared" si="19"/>
        <v>13953.48</v>
      </c>
      <c r="H66" s="15">
        <f t="shared" si="19"/>
        <v>15390.387755102041</v>
      </c>
      <c r="I66" s="15">
        <f t="shared" si="19"/>
        <v>15419.936170212766</v>
      </c>
      <c r="J66" s="15">
        <f t="shared" si="19"/>
        <v>14292.020833333334</v>
      </c>
      <c r="K66" s="18">
        <f t="shared" si="19"/>
        <v>16070.755555555555</v>
      </c>
      <c r="L66" s="16">
        <f t="shared" si="19"/>
        <v>18349.522727272728</v>
      </c>
      <c r="M66" s="16">
        <f t="shared" si="19"/>
        <v>19108.5</v>
      </c>
      <c r="N66" s="17">
        <f t="shared" si="19"/>
        <v>22056.073170731706</v>
      </c>
    </row>
    <row r="67" spans="1:14" ht="11.25">
      <c r="A67" s="3" t="s">
        <v>57</v>
      </c>
      <c r="B67" s="23"/>
      <c r="C67" s="16">
        <f>C16/C64</f>
        <v>10915.485714285714</v>
      </c>
      <c r="D67" s="16">
        <f aca="true" t="shared" si="20" ref="D67:N67">+D16/D64</f>
        <v>18311.634615384617</v>
      </c>
      <c r="E67" s="16">
        <f t="shared" si="20"/>
        <v>14905.843137254902</v>
      </c>
      <c r="F67" s="17">
        <f t="shared" si="20"/>
        <v>14693.941176470587</v>
      </c>
      <c r="G67" s="15">
        <f t="shared" si="20"/>
        <v>13958.8</v>
      </c>
      <c r="H67" s="15">
        <f t="shared" si="20"/>
        <v>16376.469387755102</v>
      </c>
      <c r="I67" s="15">
        <f t="shared" si="20"/>
        <v>16165</v>
      </c>
      <c r="J67" s="15">
        <f t="shared" si="20"/>
        <v>14889.270833333334</v>
      </c>
      <c r="K67" s="18">
        <f t="shared" si="20"/>
        <v>16752.666666666668</v>
      </c>
      <c r="L67" s="16">
        <f t="shared" si="20"/>
        <v>17334.590909090908</v>
      </c>
      <c r="M67" s="16">
        <f t="shared" si="20"/>
        <v>18124.619047619046</v>
      </c>
      <c r="N67" s="17">
        <f t="shared" si="20"/>
        <v>22643.146341463416</v>
      </c>
    </row>
    <row r="68" spans="1:14" ht="11.25">
      <c r="A68" s="2" t="s">
        <v>58</v>
      </c>
      <c r="B68" s="50"/>
      <c r="C68" s="20">
        <f>(C40/C64)</f>
        <v>5.748571428571428</v>
      </c>
      <c r="D68" s="20">
        <f aca="true" t="shared" si="21" ref="D68:N68">+D40/D64</f>
        <v>131.09615384615384</v>
      </c>
      <c r="E68" s="20">
        <f t="shared" si="21"/>
        <v>83.96078431372548</v>
      </c>
      <c r="F68" s="21">
        <f t="shared" si="21"/>
        <v>63.86274509803921</v>
      </c>
      <c r="G68" s="20">
        <f t="shared" si="21"/>
        <v>166.7</v>
      </c>
      <c r="H68" s="20">
        <f t="shared" si="21"/>
        <v>189.87755102040816</v>
      </c>
      <c r="I68" s="20">
        <f t="shared" si="21"/>
        <v>150.46808510638297</v>
      </c>
      <c r="J68" s="20">
        <f t="shared" si="21"/>
        <v>64.10416666666667</v>
      </c>
      <c r="K68" s="22">
        <f t="shared" si="21"/>
        <v>263.35555555555555</v>
      </c>
      <c r="L68" s="20">
        <f t="shared" si="21"/>
        <v>197.3409090909091</v>
      </c>
      <c r="M68" s="20">
        <f t="shared" si="21"/>
        <v>142.6904761904762</v>
      </c>
      <c r="N68" s="21">
        <f t="shared" si="21"/>
        <v>79.58536585365853</v>
      </c>
    </row>
    <row r="69" spans="1:14" ht="11.25">
      <c r="A69" s="9" t="s">
        <v>59</v>
      </c>
      <c r="B69" s="23"/>
      <c r="E69" s="16"/>
      <c r="F69" s="23"/>
      <c r="K69" s="25"/>
      <c r="L69" s="26"/>
      <c r="M69" s="26"/>
      <c r="N69" s="23"/>
    </row>
    <row r="70" spans="1:14" ht="11.25">
      <c r="A70" s="3" t="s">
        <v>60</v>
      </c>
      <c r="B70" s="23"/>
      <c r="C70" s="31">
        <f>+(C10/G10)-1</f>
        <v>1.6568262477843265</v>
      </c>
      <c r="D70" s="31">
        <f>(D10/H10)-1</f>
        <v>0.18618232185367223</v>
      </c>
      <c r="E70" s="31">
        <f>(E10/I10)-1</f>
        <v>0.009705423093302246</v>
      </c>
      <c r="F70" s="32">
        <f>(F10/J10)-1</f>
        <v>0.04168334827749853</v>
      </c>
      <c r="G70" s="34">
        <f>+(G10/K10)-1</f>
        <v>-0.06969282223549811</v>
      </c>
      <c r="H70" s="33">
        <f>(H10/L10)-1</f>
        <v>0.046168677147049086</v>
      </c>
      <c r="I70" s="33">
        <f>(I10/M10)-1</f>
        <v>-0.01047800684164324</v>
      </c>
      <c r="J70" s="33">
        <f>+(J10/N10)-1</f>
        <v>-0.20991139030710215</v>
      </c>
      <c r="K70" s="34">
        <v>-0.1810696494219859</v>
      </c>
      <c r="L70" s="31">
        <f>+(L10/1030527)-1</f>
        <v>-0.19773960313509498</v>
      </c>
      <c r="M70" s="31">
        <f>+(M10/1156017)-1</f>
        <v>-0.2856290175663506</v>
      </c>
      <c r="N70" s="32">
        <f>+(N10/1308724)-1</f>
        <v>-0.24391391920679995</v>
      </c>
    </row>
    <row r="71" spans="1:14" ht="11.25">
      <c r="A71" s="3" t="s">
        <v>61</v>
      </c>
      <c r="B71" s="23"/>
      <c r="C71" s="31">
        <f>SUM(C72:C73)</f>
        <v>0.43323385994031605</v>
      </c>
      <c r="D71" s="31">
        <f>(D12/H12)-1</f>
        <v>0.11126345757821277</v>
      </c>
      <c r="E71" s="31">
        <f>(E12/I12)-1</f>
        <v>-0.03435591117881387</v>
      </c>
      <c r="F71" s="32">
        <f>(F12/J12)-1</f>
        <v>0.08139739977289184</v>
      </c>
      <c r="G71" s="34">
        <f>SUM(G72:G73)</f>
        <v>-0.0352745635965398</v>
      </c>
      <c r="H71" s="33">
        <f>(H12/L12)-1</f>
        <v>-0.06595415535950278</v>
      </c>
      <c r="I71" s="33">
        <f>(I12/M12)-1</f>
        <v>-0.09696507537782362</v>
      </c>
      <c r="J71" s="33">
        <f>SUM(J72:J73)</f>
        <v>-0.24138255156756783</v>
      </c>
      <c r="K71" s="34">
        <v>-0.1984243014044511</v>
      </c>
      <c r="L71" s="31">
        <f>SUM(L72:L73)</f>
        <v>-0.12431493811801986</v>
      </c>
      <c r="M71" s="31">
        <f>SUM(M72:M73)</f>
        <v>-0.1981414188242041</v>
      </c>
      <c r="N71" s="32">
        <f>SUM(N72:N73)</f>
        <v>-0.22165175612703536</v>
      </c>
    </row>
    <row r="72" spans="2:14" ht="11.25">
      <c r="B72" s="23" t="s">
        <v>12</v>
      </c>
      <c r="C72" s="31">
        <v>0</v>
      </c>
      <c r="D72" s="31">
        <v>0</v>
      </c>
      <c r="E72" s="31">
        <v>0</v>
      </c>
      <c r="F72" s="32">
        <v>0</v>
      </c>
      <c r="G72" s="34">
        <v>0</v>
      </c>
      <c r="H72" s="33">
        <v>0</v>
      </c>
      <c r="I72" s="33">
        <v>0</v>
      </c>
      <c r="J72" s="33">
        <v>0</v>
      </c>
      <c r="K72" s="34">
        <v>0</v>
      </c>
      <c r="L72" s="31">
        <v>0</v>
      </c>
      <c r="M72" s="31">
        <v>0</v>
      </c>
      <c r="N72" s="32">
        <v>0</v>
      </c>
    </row>
    <row r="73" spans="2:14" ht="11.25">
      <c r="B73" s="23" t="s">
        <v>13</v>
      </c>
      <c r="C73" s="31">
        <f>+(C14/G14)-1</f>
        <v>0.43323385994031605</v>
      </c>
      <c r="D73" s="31">
        <f>(D14/H14)-1</f>
        <v>0.11126345757821277</v>
      </c>
      <c r="E73" s="31">
        <f>(E14/I14)-1</f>
        <v>-0.03435591117881387</v>
      </c>
      <c r="F73" s="32">
        <f>(F14/J14)-1</f>
        <v>0.08139739977289184</v>
      </c>
      <c r="G73" s="34">
        <f>+(G14/K14)-1</f>
        <v>-0.0352745635965398</v>
      </c>
      <c r="H73" s="33">
        <f>(H14/L14)-1</f>
        <v>-0.06595415535950278</v>
      </c>
      <c r="I73" s="33">
        <f>(I14/M14)-1</f>
        <v>-0.09696507537782362</v>
      </c>
      <c r="J73" s="33">
        <f>+(J14/N14)-1</f>
        <v>-0.24138255156756783</v>
      </c>
      <c r="K73" s="34">
        <v>-0.1984243014044511</v>
      </c>
      <c r="L73" s="31">
        <f>+(L14/921997)-1</f>
        <v>-0.12431493811801986</v>
      </c>
      <c r="M73" s="31">
        <f>+(M14/1000871)-1</f>
        <v>-0.1981414188242041</v>
      </c>
      <c r="N73" s="32">
        <f>+(N14/1161818)-1</f>
        <v>-0.22165175612703536</v>
      </c>
    </row>
    <row r="74" spans="1:14" ht="11.25">
      <c r="A74" s="3" t="s">
        <v>62</v>
      </c>
      <c r="B74" s="23"/>
      <c r="C74" s="31">
        <f>SUM(C75:C76)</f>
        <v>1.4826389087887213</v>
      </c>
      <c r="D74" s="31">
        <f>(D16/H16)-1</f>
        <v>0.18662665571682613</v>
      </c>
      <c r="E74" s="31">
        <f>(E16/I16)-1</f>
        <v>0.0005830827042927478</v>
      </c>
      <c r="F74" s="32">
        <f>(F16/J16)-1</f>
        <v>0.04856125425886937</v>
      </c>
      <c r="G74" s="34">
        <f>SUM(G75:G76)</f>
        <v>-0.07419051030018442</v>
      </c>
      <c r="H74" s="33">
        <f>(H16/L16)-1</f>
        <v>0.0520831967610742</v>
      </c>
      <c r="I74" s="33">
        <f>(I16/M16)-1</f>
        <v>-0.0019428979788080891</v>
      </c>
      <c r="J74" s="33">
        <f>SUM(J75:J76)</f>
        <v>-0.23017140813620451</v>
      </c>
      <c r="K74" s="34">
        <v>-0.2006357843974098</v>
      </c>
      <c r="L74" s="31">
        <f>SUM(L75:L76)</f>
        <v>-0.22013421034603697</v>
      </c>
      <c r="M74" s="31">
        <f>SUM(M75:M76)</f>
        <v>-0.3123059397237602</v>
      </c>
      <c r="N74" s="32">
        <f>SUM(N75:N76)</f>
        <v>-0.26794420608642233</v>
      </c>
    </row>
    <row r="75" spans="2:14" ht="11.25">
      <c r="B75" s="23" t="s">
        <v>12</v>
      </c>
      <c r="C75" s="31">
        <v>0</v>
      </c>
      <c r="D75" s="31">
        <v>0</v>
      </c>
      <c r="E75" s="31">
        <v>0</v>
      </c>
      <c r="F75" s="32">
        <v>0</v>
      </c>
      <c r="G75" s="34">
        <v>0</v>
      </c>
      <c r="H75" s="33">
        <v>0</v>
      </c>
      <c r="I75" s="33">
        <v>0</v>
      </c>
      <c r="J75" s="33">
        <v>0</v>
      </c>
      <c r="K75" s="34">
        <v>0</v>
      </c>
      <c r="L75" s="31">
        <v>0</v>
      </c>
      <c r="M75" s="31">
        <v>0</v>
      </c>
      <c r="N75" s="32">
        <v>0</v>
      </c>
    </row>
    <row r="76" spans="2:14" ht="11.25">
      <c r="B76" s="23" t="s">
        <v>13</v>
      </c>
      <c r="C76" s="31">
        <f>+(C21/G21)-1</f>
        <v>1.4826389087887213</v>
      </c>
      <c r="D76" s="31">
        <f>(D21/H21)-1</f>
        <v>0.18413427927327297</v>
      </c>
      <c r="E76" s="31">
        <f>(E21/I21)-1</f>
        <v>0.0005830827042927478</v>
      </c>
      <c r="F76" s="32">
        <f>(F21/J21)-1</f>
        <v>0.04856125425886937</v>
      </c>
      <c r="G76" s="34">
        <f>+(G21/K21)-1</f>
        <v>-0.07419051030018442</v>
      </c>
      <c r="H76" s="33">
        <f>(H21/L21)-1</f>
        <v>0.0520831967610742</v>
      </c>
      <c r="I76" s="33">
        <f>(I21/M21)-1</f>
        <v>-0.0019428979788080891</v>
      </c>
      <c r="J76" s="33">
        <f>+(J21/N21)-1</f>
        <v>-0.23017140813620451</v>
      </c>
      <c r="K76" s="34">
        <v>-0.2006357843974098</v>
      </c>
      <c r="L76" s="31">
        <f>+(L21/978017)-1</f>
        <v>-0.22013421034603697</v>
      </c>
      <c r="M76" s="31">
        <f>+(M21/1106937)-1</f>
        <v>-0.3123059397237602</v>
      </c>
      <c r="N76" s="32">
        <f>+(N21/1268167)-1</f>
        <v>-0.26794420608642233</v>
      </c>
    </row>
    <row r="77" spans="1:14" ht="11.25">
      <c r="A77" s="3" t="s">
        <v>63</v>
      </c>
      <c r="B77" s="23"/>
      <c r="C77" s="31">
        <f>+(C25/G25)-1</f>
        <v>0.027829369121083136</v>
      </c>
      <c r="D77" s="31">
        <f>(D25/H25)-1</f>
        <v>-0.07050330393269877</v>
      </c>
      <c r="E77" s="31">
        <f>(E25/I25)-1</f>
        <v>-0.08483546589458613</v>
      </c>
      <c r="F77" s="32">
        <f>(F25/J25)-1</f>
        <v>-0.1253938699513033</v>
      </c>
      <c r="G77" s="34">
        <f>+(G25/K25)-1</f>
        <v>-0.141100190397777</v>
      </c>
      <c r="H77" s="33">
        <f>(H25/L25)-1</f>
        <v>-0.037569339384770584</v>
      </c>
      <c r="I77" s="33">
        <f>(I25/M25)-1</f>
        <v>-0.026783820633237365</v>
      </c>
      <c r="J77" s="31">
        <f>+(J25/N25)-1</f>
        <v>0.3836702338485929</v>
      </c>
      <c r="K77" s="34">
        <v>0.4388419961498593</v>
      </c>
      <c r="L77" s="31">
        <f>+(L25/29577)-1</f>
        <v>0.20681610711025455</v>
      </c>
      <c r="M77" s="31">
        <f>+(M25/26036)-1</f>
        <v>0.2676678445229681</v>
      </c>
      <c r="N77" s="32">
        <f>+(N25/22905)-1</f>
        <v>0.32180746561886053</v>
      </c>
    </row>
    <row r="78" spans="1:14" ht="11.25">
      <c r="A78" s="2" t="s">
        <v>64</v>
      </c>
      <c r="B78" s="50"/>
      <c r="C78" s="35">
        <f>+(C40/G40)-1</f>
        <v>-0.8793041391721655</v>
      </c>
      <c r="D78" s="35">
        <f>(D40/H40)-1</f>
        <v>-0.26730438521066213</v>
      </c>
      <c r="E78" s="35">
        <f>(E40/I40)-1</f>
        <v>-0.3945135746606335</v>
      </c>
      <c r="F78" s="36">
        <f>(F40/J40)-1</f>
        <v>0.058498537536561646</v>
      </c>
      <c r="G78" s="37">
        <f>+(G40/K40)-1</f>
        <v>-0.2966838241498607</v>
      </c>
      <c r="H78" s="35">
        <f>(H40/L40)-1</f>
        <v>0.07151906023263854</v>
      </c>
      <c r="I78" s="35">
        <f>(I40/M40)-1</f>
        <v>0.18004338394793917</v>
      </c>
      <c r="J78" s="35">
        <f>+(J40/N40)-1</f>
        <v>-0.05700275819797729</v>
      </c>
      <c r="K78" s="37">
        <v>0.6012700986353197</v>
      </c>
      <c r="L78" s="35">
        <f>+(L40/9965)-1</f>
        <v>-0.12865027596588063</v>
      </c>
      <c r="M78" s="35">
        <f>+(M40/6427)-1</f>
        <v>-0.06752761786214412</v>
      </c>
      <c r="N78" s="36">
        <f>+(N40/3299)-1</f>
        <v>-0.010912397696271614</v>
      </c>
    </row>
    <row r="80" ht="11.25">
      <c r="A80" s="3" t="s">
        <v>65</v>
      </c>
    </row>
    <row r="81" ht="11.25">
      <c r="A81" s="3" t="s">
        <v>66</v>
      </c>
    </row>
  </sheetData>
  <sheetProtection/>
  <mergeCells count="3">
    <mergeCell ref="G7:J7"/>
    <mergeCell ref="K7:N7"/>
    <mergeCell ref="C7:F7"/>
  </mergeCells>
  <printOptions horizontalCentered="1" verticalCentered="1"/>
  <pageMargins left="0.75" right="0.75" top="1" bottom="1" header="0" footer="0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2017-06-16T16:11:55Z</dcterms:created>
  <dcterms:modified xsi:type="dcterms:W3CDTF">2017-06-16T16:11:58Z</dcterms:modified>
  <cp:category/>
  <cp:version/>
  <cp:contentType/>
  <cp:contentStatus/>
</cp:coreProperties>
</file>