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ac" sheetId="1" r:id="rId1"/>
  </sheets>
  <definedNames>
    <definedName name="_xlnm.Print_Area" localSheetId="0">'Bac'!$A$1:$N$78</definedName>
  </definedNames>
  <calcPr fullCalcOnLoad="1"/>
</workbook>
</file>

<file path=xl/sharedStrings.xml><?xml version="1.0" encoding="utf-8"?>
<sst xmlns="http://schemas.openxmlformats.org/spreadsheetml/2006/main" count="89" uniqueCount="68">
  <si>
    <t>CUADRO No. 18-42</t>
  </si>
  <si>
    <t>BAC INTERNATIONAL BANK, INC.</t>
  </si>
  <si>
    <t xml:space="preserve">ESTADISTICA FINANCIERA. TRIMESTRES  2000, 2001 Y 2002 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</si>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</sst>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95" fontId="2" fillId="0" borderId="0" xfId="46" applyNumberFormat="1" applyFont="1" applyAlignment="1">
      <alignment/>
    </xf>
    <xf numFmtId="195" fontId="2" fillId="0" borderId="16" xfId="46" applyNumberFormat="1" applyFont="1" applyBorder="1" applyAlignment="1">
      <alignment/>
    </xf>
    <xf numFmtId="195" fontId="2" fillId="0" borderId="0" xfId="46" applyNumberFormat="1" applyFont="1" applyBorder="1" applyAlignment="1">
      <alignment/>
    </xf>
    <xf numFmtId="195" fontId="3" fillId="0" borderId="0" xfId="46" applyNumberFormat="1" applyFont="1" applyAlignment="1">
      <alignment/>
    </xf>
    <xf numFmtId="195" fontId="3" fillId="0" borderId="0" xfId="46" applyNumberFormat="1" applyFont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0" xfId="46" applyNumberFormat="1" applyFont="1" applyBorder="1" applyAlignment="1">
      <alignment/>
    </xf>
    <xf numFmtId="195" fontId="3" fillId="0" borderId="13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95" fontId="3" fillId="0" borderId="15" xfId="0" applyNumberFormat="1" applyFont="1" applyBorder="1" applyAlignment="1">
      <alignment/>
    </xf>
    <xf numFmtId="195" fontId="3" fillId="0" borderId="0" xfId="0" applyNumberFormat="1" applyFont="1" applyAlignment="1">
      <alignment/>
    </xf>
    <xf numFmtId="195" fontId="3" fillId="0" borderId="13" xfId="0" applyNumberFormat="1" applyFont="1" applyBorder="1" applyAlignment="1">
      <alignment/>
    </xf>
    <xf numFmtId="195" fontId="3" fillId="0" borderId="10" xfId="0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6" xfId="52" applyNumberFormat="1" applyFont="1" applyBorder="1" applyAlignment="1">
      <alignment/>
    </xf>
    <xf numFmtId="197" fontId="3" fillId="0" borderId="0" xfId="52" applyNumberFormat="1" applyFont="1" applyBorder="1" applyAlignment="1">
      <alignment/>
    </xf>
    <xf numFmtId="197" fontId="3" fillId="0" borderId="15" xfId="52" applyNumberFormat="1" applyFont="1" applyBorder="1" applyAlignment="1">
      <alignment/>
    </xf>
    <xf numFmtId="197" fontId="3" fillId="0" borderId="10" xfId="52" applyNumberFormat="1" applyFont="1" applyBorder="1" applyAlignment="1">
      <alignment/>
    </xf>
    <xf numFmtId="197" fontId="3" fillId="0" borderId="13" xfId="52" applyNumberFormat="1" applyFont="1" applyBorder="1" applyAlignment="1">
      <alignment/>
    </xf>
    <xf numFmtId="197" fontId="3" fillId="0" borderId="14" xfId="52" applyNumberFormat="1" applyFont="1" applyBorder="1" applyAlignment="1">
      <alignment/>
    </xf>
    <xf numFmtId="0" fontId="3" fillId="0" borderId="17" xfId="0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pane xSplit="2" ySplit="8" topLeftCell="F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4" sqref="J14"/>
    </sheetView>
  </sheetViews>
  <sheetFormatPr defaultColWidth="11.421875" defaultRowHeight="12.75"/>
  <cols>
    <col min="1" max="1" width="1.8515625" style="2" customWidth="1"/>
    <col min="2" max="2" width="25.140625" style="2" customWidth="1"/>
    <col min="3" max="4" width="8.140625" style="2" customWidth="1"/>
    <col min="5" max="6" width="7.421875" style="2" customWidth="1"/>
    <col min="7" max="7" width="7.8515625" style="2" customWidth="1"/>
    <col min="8" max="8" width="7.7109375" style="2" bestFit="1" customWidth="1"/>
    <col min="9" max="9" width="7.421875" style="2" bestFit="1" customWidth="1"/>
    <col min="10" max="10" width="8.00390625" style="2" bestFit="1" customWidth="1"/>
    <col min="11" max="11" width="8.140625" style="2" customWidth="1"/>
    <col min="12" max="12" width="7.7109375" style="2" bestFit="1" customWidth="1"/>
    <col min="13" max="14" width="7.421875" style="2" customWidth="1"/>
    <col min="15" max="15" width="6.28125" style="2" hidden="1" customWidth="1"/>
    <col min="16" max="16" width="0.13671875" style="2" hidden="1" customWidth="1"/>
    <col min="17" max="18" width="11.421875" style="2" customWidth="1"/>
    <col min="19" max="16384" width="11.421875" style="1" customWidth="1"/>
  </cols>
  <sheetData>
    <row r="1" spans="2:16" ht="11.25">
      <c r="B1" s="51"/>
      <c r="C1" s="51"/>
      <c r="D1" s="51"/>
      <c r="E1" s="51"/>
      <c r="F1" s="51"/>
      <c r="G1" s="51"/>
      <c r="H1" s="51" t="s">
        <v>0</v>
      </c>
      <c r="I1" s="51"/>
      <c r="J1" s="51"/>
      <c r="K1" s="51"/>
      <c r="L1" s="51"/>
      <c r="M1" s="51"/>
      <c r="N1" s="51"/>
      <c r="O1" s="51"/>
      <c r="P1" s="51"/>
    </row>
    <row r="2" spans="2:16" ht="11.25">
      <c r="B2" s="51"/>
      <c r="C2" s="51"/>
      <c r="D2" s="51"/>
      <c r="E2" s="51"/>
      <c r="F2" s="51"/>
      <c r="G2" s="51"/>
      <c r="H2" s="51" t="s">
        <v>1</v>
      </c>
      <c r="I2" s="51"/>
      <c r="J2" s="51"/>
      <c r="K2" s="51"/>
      <c r="L2" s="51"/>
      <c r="M2" s="51"/>
      <c r="N2" s="51"/>
      <c r="O2" s="51"/>
      <c r="P2" s="51"/>
    </row>
    <row r="3" spans="2:16" ht="11.25">
      <c r="B3" s="51"/>
      <c r="C3" s="51"/>
      <c r="D3" s="51"/>
      <c r="E3" s="51"/>
      <c r="F3" s="51"/>
      <c r="G3" s="51"/>
      <c r="H3" s="51" t="s">
        <v>2</v>
      </c>
      <c r="I3" s="51"/>
      <c r="J3" s="51"/>
      <c r="K3" s="51"/>
      <c r="L3" s="51"/>
      <c r="M3" s="51"/>
      <c r="N3" s="51"/>
      <c r="O3" s="51"/>
      <c r="P3" s="51"/>
    </row>
    <row r="4" spans="1:16" ht="11.25">
      <c r="A4" s="1"/>
      <c r="B4" s="50"/>
      <c r="C4" s="50"/>
      <c r="D4" s="50"/>
      <c r="E4" s="50"/>
      <c r="F4" s="50"/>
      <c r="G4" s="50"/>
      <c r="H4" s="50" t="s">
        <v>3</v>
      </c>
      <c r="I4" s="50"/>
      <c r="J4" s="50"/>
      <c r="K4" s="50"/>
      <c r="L4" s="50"/>
      <c r="M4" s="50"/>
      <c r="N4" s="50"/>
      <c r="O4" s="50"/>
      <c r="P4" s="50"/>
    </row>
    <row r="5" spans="1:16" ht="11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7" ht="11.25">
      <c r="A7" s="5"/>
      <c r="B7" s="5"/>
      <c r="C7" s="53">
        <v>2002</v>
      </c>
      <c r="D7" s="53"/>
      <c r="E7" s="53"/>
      <c r="F7" s="54"/>
      <c r="G7" s="53">
        <v>2001</v>
      </c>
      <c r="H7" s="53"/>
      <c r="I7" s="53"/>
      <c r="J7" s="53"/>
      <c r="K7" s="52">
        <v>2000</v>
      </c>
      <c r="L7" s="53"/>
      <c r="M7" s="53"/>
      <c r="N7" s="53"/>
      <c r="O7" s="53" t="s">
        <v>4</v>
      </c>
      <c r="P7" s="53"/>
      <c r="Q7" s="26"/>
    </row>
    <row r="8" spans="1:17" ht="11.25">
      <c r="A8" s="6"/>
      <c r="B8" s="6"/>
      <c r="C8" s="7" t="s">
        <v>5</v>
      </c>
      <c r="D8" s="6" t="s">
        <v>6</v>
      </c>
      <c r="E8" s="8" t="s">
        <v>7</v>
      </c>
      <c r="F8" s="9" t="s">
        <v>8</v>
      </c>
      <c r="G8" s="7" t="s">
        <v>5</v>
      </c>
      <c r="H8" s="6" t="s">
        <v>6</v>
      </c>
      <c r="I8" s="6" t="s">
        <v>7</v>
      </c>
      <c r="J8" s="6" t="s">
        <v>8</v>
      </c>
      <c r="K8" s="10" t="s">
        <v>5</v>
      </c>
      <c r="L8" s="6" t="s">
        <v>6</v>
      </c>
      <c r="M8" s="6" t="s">
        <v>7</v>
      </c>
      <c r="N8" s="7" t="s">
        <v>8</v>
      </c>
      <c r="O8" s="11" t="s">
        <v>9</v>
      </c>
      <c r="P8" s="11" t="s">
        <v>10</v>
      </c>
      <c r="Q8" s="26"/>
    </row>
    <row r="9" spans="1:17" ht="11.25">
      <c r="A9" s="12" t="s">
        <v>11</v>
      </c>
      <c r="B9" s="12"/>
      <c r="C9" s="12"/>
      <c r="D9" s="12"/>
      <c r="E9" s="13"/>
      <c r="F9" s="14"/>
      <c r="G9" s="12"/>
      <c r="H9" s="12"/>
      <c r="I9" s="12"/>
      <c r="J9" s="15"/>
      <c r="K9" s="16"/>
      <c r="L9" s="17"/>
      <c r="M9" s="17"/>
      <c r="N9" s="17"/>
      <c r="O9" s="15"/>
      <c r="P9" s="15"/>
      <c r="Q9" s="26"/>
    </row>
    <row r="10" spans="1:17" ht="11.25">
      <c r="A10" s="2" t="s">
        <v>12</v>
      </c>
      <c r="C10" s="18">
        <v>345405</v>
      </c>
      <c r="D10" s="18">
        <v>324507</v>
      </c>
      <c r="E10" s="19">
        <v>266009</v>
      </c>
      <c r="F10" s="20">
        <v>203146</v>
      </c>
      <c r="G10" s="18">
        <v>205585</v>
      </c>
      <c r="H10" s="18">
        <v>210223</v>
      </c>
      <c r="I10" s="18">
        <v>231129</v>
      </c>
      <c r="J10" s="18">
        <v>224518</v>
      </c>
      <c r="K10" s="21">
        <v>221897</v>
      </c>
      <c r="L10" s="19">
        <v>225206</v>
      </c>
      <c r="M10" s="19">
        <v>216943</v>
      </c>
      <c r="N10" s="19">
        <v>202577</v>
      </c>
      <c r="O10" s="18">
        <v>208623</v>
      </c>
      <c r="P10" s="18">
        <v>185944</v>
      </c>
      <c r="Q10" s="26"/>
    </row>
    <row r="11" spans="1:17" ht="11.25">
      <c r="A11" s="2" t="s">
        <v>13</v>
      </c>
      <c r="C11" s="18">
        <v>26678</v>
      </c>
      <c r="D11" s="18">
        <v>5360</v>
      </c>
      <c r="E11" s="19">
        <v>10951</v>
      </c>
      <c r="F11" s="20">
        <v>15569</v>
      </c>
      <c r="G11" s="18">
        <v>7562</v>
      </c>
      <c r="H11" s="18">
        <v>9223</v>
      </c>
      <c r="I11" s="18">
        <v>7849</v>
      </c>
      <c r="J11" s="18">
        <v>6679</v>
      </c>
      <c r="K11" s="21">
        <v>10237</v>
      </c>
      <c r="L11" s="19">
        <v>11302</v>
      </c>
      <c r="M11" s="19">
        <v>11900</v>
      </c>
      <c r="N11" s="19">
        <v>13765</v>
      </c>
      <c r="O11" s="18">
        <v>18881</v>
      </c>
      <c r="P11" s="18">
        <v>21164</v>
      </c>
      <c r="Q11" s="26"/>
    </row>
    <row r="12" spans="1:17" ht="11.25">
      <c r="A12" s="2" t="s">
        <v>14</v>
      </c>
      <c r="C12" s="19">
        <f aca="true" t="shared" si="0" ref="C12:P12">C13+C14</f>
        <v>52636</v>
      </c>
      <c r="D12" s="19">
        <f t="shared" si="0"/>
        <v>59102</v>
      </c>
      <c r="E12" s="19">
        <f t="shared" si="0"/>
        <v>57512</v>
      </c>
      <c r="F12" s="20">
        <f t="shared" si="0"/>
        <v>55763</v>
      </c>
      <c r="G12" s="18">
        <f t="shared" si="0"/>
        <v>62219</v>
      </c>
      <c r="H12" s="18">
        <f t="shared" si="0"/>
        <v>72674</v>
      </c>
      <c r="I12" s="18">
        <f t="shared" si="0"/>
        <v>81175</v>
      </c>
      <c r="J12" s="18">
        <f t="shared" si="0"/>
        <v>79457</v>
      </c>
      <c r="K12" s="21">
        <f t="shared" si="0"/>
        <v>82755</v>
      </c>
      <c r="L12" s="19">
        <f t="shared" si="0"/>
        <v>81923</v>
      </c>
      <c r="M12" s="19">
        <f t="shared" si="0"/>
        <v>81124</v>
      </c>
      <c r="N12" s="19">
        <f t="shared" si="0"/>
        <v>77050</v>
      </c>
      <c r="O12" s="18">
        <f t="shared" si="0"/>
        <v>77884</v>
      </c>
      <c r="P12" s="18">
        <f t="shared" si="0"/>
        <v>54788</v>
      </c>
      <c r="Q12" s="26"/>
    </row>
    <row r="13" spans="2:17" ht="11.25">
      <c r="B13" s="2" t="s">
        <v>15</v>
      </c>
      <c r="C13" s="18">
        <v>41003</v>
      </c>
      <c r="D13" s="18">
        <v>44238</v>
      </c>
      <c r="E13" s="19">
        <v>45656</v>
      </c>
      <c r="F13" s="20">
        <v>38829</v>
      </c>
      <c r="G13" s="18">
        <v>41936</v>
      </c>
      <c r="H13" s="18">
        <v>51457</v>
      </c>
      <c r="I13" s="18">
        <v>57434</v>
      </c>
      <c r="J13" s="18">
        <v>54707</v>
      </c>
      <c r="K13" s="21">
        <v>58963</v>
      </c>
      <c r="L13" s="19">
        <v>58992</v>
      </c>
      <c r="M13" s="19">
        <v>59789</v>
      </c>
      <c r="N13" s="19">
        <v>58995</v>
      </c>
      <c r="O13" s="18">
        <v>58667</v>
      </c>
      <c r="P13" s="18">
        <v>37362</v>
      </c>
      <c r="Q13" s="26"/>
    </row>
    <row r="14" spans="2:17" ht="11.25">
      <c r="B14" s="2" t="s">
        <v>16</v>
      </c>
      <c r="C14" s="18">
        <v>11633</v>
      </c>
      <c r="D14" s="18">
        <v>14864</v>
      </c>
      <c r="E14" s="19">
        <v>11856</v>
      </c>
      <c r="F14" s="20">
        <v>16934</v>
      </c>
      <c r="G14" s="18">
        <v>20283</v>
      </c>
      <c r="H14" s="18">
        <v>21217</v>
      </c>
      <c r="I14" s="18">
        <v>23741</v>
      </c>
      <c r="J14" s="18">
        <v>24750</v>
      </c>
      <c r="K14" s="21">
        <v>23792</v>
      </c>
      <c r="L14" s="19">
        <v>22931</v>
      </c>
      <c r="M14" s="19">
        <v>21335</v>
      </c>
      <c r="N14" s="19">
        <v>18055</v>
      </c>
      <c r="O14" s="18">
        <v>19217</v>
      </c>
      <c r="P14" s="18">
        <v>17426</v>
      </c>
      <c r="Q14" s="26"/>
    </row>
    <row r="15" spans="1:17" ht="11.25">
      <c r="A15" s="2" t="s">
        <v>17</v>
      </c>
      <c r="C15" s="18">
        <v>257326</v>
      </c>
      <c r="D15" s="18">
        <v>253256</v>
      </c>
      <c r="E15" s="19">
        <v>188585</v>
      </c>
      <c r="F15" s="20">
        <v>125065</v>
      </c>
      <c r="G15" s="18">
        <v>129596</v>
      </c>
      <c r="H15" s="18">
        <v>122193</v>
      </c>
      <c r="I15" s="18">
        <v>136910</v>
      </c>
      <c r="J15" s="18">
        <v>133292</v>
      </c>
      <c r="K15" s="21">
        <v>123838</v>
      </c>
      <c r="L15" s="19">
        <v>125924</v>
      </c>
      <c r="M15" s="19">
        <v>118025</v>
      </c>
      <c r="N15" s="19">
        <v>105813</v>
      </c>
      <c r="O15" s="18">
        <v>105149</v>
      </c>
      <c r="P15" s="18">
        <v>104925</v>
      </c>
      <c r="Q15" s="26"/>
    </row>
    <row r="16" spans="1:17" ht="11.25">
      <c r="A16" s="2" t="s">
        <v>18</v>
      </c>
      <c r="C16" s="19">
        <f aca="true" t="shared" si="1" ref="C16:P16">C17+C21</f>
        <v>168903</v>
      </c>
      <c r="D16" s="19">
        <f t="shared" si="1"/>
        <v>158518</v>
      </c>
      <c r="E16" s="19">
        <f t="shared" si="1"/>
        <v>110502</v>
      </c>
      <c r="F16" s="20">
        <f t="shared" si="1"/>
        <v>62416</v>
      </c>
      <c r="G16" s="18">
        <f t="shared" si="1"/>
        <v>71174</v>
      </c>
      <c r="H16" s="18">
        <f t="shared" si="1"/>
        <v>78410</v>
      </c>
      <c r="I16" s="18">
        <f t="shared" si="1"/>
        <v>88074</v>
      </c>
      <c r="J16" s="18">
        <f t="shared" si="1"/>
        <v>82348</v>
      </c>
      <c r="K16" s="21">
        <f t="shared" si="1"/>
        <v>86590</v>
      </c>
      <c r="L16" s="19">
        <f t="shared" si="1"/>
        <v>92552</v>
      </c>
      <c r="M16" s="19">
        <f t="shared" si="1"/>
        <v>88423</v>
      </c>
      <c r="N16" s="19">
        <f t="shared" si="1"/>
        <v>86804</v>
      </c>
      <c r="O16" s="18">
        <f t="shared" si="1"/>
        <v>90155</v>
      </c>
      <c r="P16" s="18">
        <f t="shared" si="1"/>
        <v>71859</v>
      </c>
      <c r="Q16" s="26"/>
    </row>
    <row r="17" spans="2:17" ht="11.25">
      <c r="B17" s="2" t="s">
        <v>15</v>
      </c>
      <c r="C17" s="19">
        <f aca="true" t="shared" si="2" ref="C17:P17">SUM(C18:C20)</f>
        <v>35026</v>
      </c>
      <c r="D17" s="19">
        <f t="shared" si="2"/>
        <v>47091</v>
      </c>
      <c r="E17" s="19">
        <f t="shared" si="2"/>
        <v>34605</v>
      </c>
      <c r="F17" s="20">
        <f t="shared" si="2"/>
        <v>35888</v>
      </c>
      <c r="G17" s="18">
        <f t="shared" si="2"/>
        <v>42376</v>
      </c>
      <c r="H17" s="18">
        <f t="shared" si="2"/>
        <v>36718</v>
      </c>
      <c r="I17" s="18">
        <f t="shared" si="2"/>
        <v>49066</v>
      </c>
      <c r="J17" s="18">
        <f t="shared" si="2"/>
        <v>42267</v>
      </c>
      <c r="K17" s="21">
        <f t="shared" si="2"/>
        <v>47475</v>
      </c>
      <c r="L17" s="19">
        <f t="shared" si="2"/>
        <v>47902</v>
      </c>
      <c r="M17" s="19">
        <f t="shared" si="2"/>
        <v>34702</v>
      </c>
      <c r="N17" s="19">
        <f t="shared" si="2"/>
        <v>28893</v>
      </c>
      <c r="O17" s="18">
        <f t="shared" si="2"/>
        <v>34562</v>
      </c>
      <c r="P17" s="18">
        <f t="shared" si="2"/>
        <v>33319</v>
      </c>
      <c r="Q17" s="26"/>
    </row>
    <row r="18" spans="2:17" ht="11.25">
      <c r="B18" s="2" t="s">
        <v>19</v>
      </c>
      <c r="C18" s="18">
        <v>0</v>
      </c>
      <c r="D18" s="18">
        <v>0</v>
      </c>
      <c r="E18" s="19">
        <v>0</v>
      </c>
      <c r="F18" s="20">
        <v>0</v>
      </c>
      <c r="G18" s="18">
        <v>0</v>
      </c>
      <c r="H18" s="18">
        <v>0</v>
      </c>
      <c r="I18" s="18">
        <v>0</v>
      </c>
      <c r="J18" s="18">
        <v>0</v>
      </c>
      <c r="K18" s="21">
        <v>0</v>
      </c>
      <c r="L18" s="19">
        <v>0</v>
      </c>
      <c r="M18" s="19">
        <v>0</v>
      </c>
      <c r="N18" s="19">
        <v>0</v>
      </c>
      <c r="O18" s="18">
        <v>0</v>
      </c>
      <c r="P18" s="18">
        <v>0</v>
      </c>
      <c r="Q18" s="26"/>
    </row>
    <row r="19" spans="2:17" ht="11.25">
      <c r="B19" s="2" t="s">
        <v>20</v>
      </c>
      <c r="C19" s="18">
        <v>30035</v>
      </c>
      <c r="D19" s="18">
        <v>40552</v>
      </c>
      <c r="E19" s="19">
        <f>34605-11088</f>
        <v>23517</v>
      </c>
      <c r="F19" s="20">
        <v>25499</v>
      </c>
      <c r="G19" s="18">
        <f>10300+16188</f>
        <v>26488</v>
      </c>
      <c r="H19" s="18">
        <v>24837</v>
      </c>
      <c r="I19" s="18">
        <v>20468</v>
      </c>
      <c r="J19" s="18">
        <v>24285</v>
      </c>
      <c r="K19" s="21">
        <v>28567</v>
      </c>
      <c r="L19" s="19">
        <v>31190</v>
      </c>
      <c r="M19" s="19">
        <v>22447</v>
      </c>
      <c r="N19" s="19">
        <v>20412</v>
      </c>
      <c r="O19" s="18">
        <v>22057</v>
      </c>
      <c r="P19" s="18">
        <v>20296</v>
      </c>
      <c r="Q19" s="26"/>
    </row>
    <row r="20" spans="2:17" ht="11.25">
      <c r="B20" s="2" t="s">
        <v>21</v>
      </c>
      <c r="C20" s="18">
        <v>4991</v>
      </c>
      <c r="D20" s="18">
        <v>6539</v>
      </c>
      <c r="E20" s="19">
        <f>101+10987</f>
        <v>11088</v>
      </c>
      <c r="F20" s="20">
        <v>10389</v>
      </c>
      <c r="G20" s="18">
        <f>10388+5500</f>
        <v>15888</v>
      </c>
      <c r="H20" s="18">
        <v>11881</v>
      </c>
      <c r="I20" s="18">
        <v>28598</v>
      </c>
      <c r="J20" s="18">
        <v>17982</v>
      </c>
      <c r="K20" s="21">
        <v>18908</v>
      </c>
      <c r="L20" s="19">
        <v>16712</v>
      </c>
      <c r="M20" s="19">
        <v>12255</v>
      </c>
      <c r="N20" s="19">
        <v>8481</v>
      </c>
      <c r="O20" s="18">
        <v>12505</v>
      </c>
      <c r="P20" s="18">
        <v>13023</v>
      </c>
      <c r="Q20" s="26"/>
    </row>
    <row r="21" spans="2:17" ht="11.25">
      <c r="B21" s="2" t="s">
        <v>16</v>
      </c>
      <c r="C21" s="19">
        <f>SUM(C22:C24)</f>
        <v>133877</v>
      </c>
      <c r="D21" s="19">
        <f aca="true" t="shared" si="3" ref="D21:P21">SUM(D23:D24)</f>
        <v>111427</v>
      </c>
      <c r="E21" s="19">
        <f t="shared" si="3"/>
        <v>75897</v>
      </c>
      <c r="F21" s="20">
        <f t="shared" si="3"/>
        <v>26528</v>
      </c>
      <c r="G21" s="18">
        <f t="shared" si="3"/>
        <v>28798</v>
      </c>
      <c r="H21" s="18">
        <f t="shared" si="3"/>
        <v>41692</v>
      </c>
      <c r="I21" s="18">
        <f t="shared" si="3"/>
        <v>39008</v>
      </c>
      <c r="J21" s="18">
        <f t="shared" si="3"/>
        <v>40081</v>
      </c>
      <c r="K21" s="21">
        <f t="shared" si="3"/>
        <v>39115</v>
      </c>
      <c r="L21" s="19">
        <f t="shared" si="3"/>
        <v>44650</v>
      </c>
      <c r="M21" s="19">
        <f t="shared" si="3"/>
        <v>53721</v>
      </c>
      <c r="N21" s="19">
        <f t="shared" si="3"/>
        <v>57911</v>
      </c>
      <c r="O21" s="18">
        <f t="shared" si="3"/>
        <v>55593</v>
      </c>
      <c r="P21" s="18">
        <f t="shared" si="3"/>
        <v>38540</v>
      </c>
      <c r="Q21" s="26"/>
    </row>
    <row r="22" spans="2:17" ht="11.25">
      <c r="B22" s="2" t="s">
        <v>19</v>
      </c>
      <c r="C22" s="19">
        <v>0</v>
      </c>
      <c r="D22" s="19">
        <v>0</v>
      </c>
      <c r="E22" s="19">
        <v>0</v>
      </c>
      <c r="F22" s="20">
        <v>0</v>
      </c>
      <c r="G22" s="18">
        <v>0</v>
      </c>
      <c r="H22" s="18">
        <v>0</v>
      </c>
      <c r="I22" s="18">
        <v>0</v>
      </c>
      <c r="J22" s="18">
        <v>0</v>
      </c>
      <c r="K22" s="21">
        <v>0</v>
      </c>
      <c r="L22" s="19">
        <v>0</v>
      </c>
      <c r="M22" s="19">
        <v>0</v>
      </c>
      <c r="N22" s="19">
        <v>0</v>
      </c>
      <c r="O22" s="18"/>
      <c r="P22" s="18"/>
      <c r="Q22" s="26"/>
    </row>
    <row r="23" spans="2:17" ht="11.25">
      <c r="B23" s="2" t="s">
        <v>20</v>
      </c>
      <c r="C23" s="18">
        <v>133086</v>
      </c>
      <c r="D23" s="18">
        <v>109172</v>
      </c>
      <c r="E23" s="19">
        <v>71085</v>
      </c>
      <c r="F23" s="20">
        <v>26472</v>
      </c>
      <c r="G23" s="18">
        <f>22023+1713</f>
        <v>23736</v>
      </c>
      <c r="H23" s="18">
        <v>34408</v>
      </c>
      <c r="I23" s="18">
        <v>35530</v>
      </c>
      <c r="J23" s="18">
        <v>39777</v>
      </c>
      <c r="K23" s="21">
        <v>38395</v>
      </c>
      <c r="L23" s="19">
        <v>40385</v>
      </c>
      <c r="M23" s="19">
        <v>42568</v>
      </c>
      <c r="N23" s="19">
        <v>46869</v>
      </c>
      <c r="O23" s="18">
        <v>41951</v>
      </c>
      <c r="P23" s="18">
        <v>26263</v>
      </c>
      <c r="Q23" s="26"/>
    </row>
    <row r="24" spans="2:17" ht="11.25">
      <c r="B24" s="2" t="s">
        <v>21</v>
      </c>
      <c r="C24" s="18">
        <v>791</v>
      </c>
      <c r="D24" s="18">
        <v>2255</v>
      </c>
      <c r="E24" s="19">
        <v>4812</v>
      </c>
      <c r="F24" s="20">
        <v>56</v>
      </c>
      <c r="G24" s="18">
        <f>1051+5+26+3980</f>
        <v>5062</v>
      </c>
      <c r="H24" s="18">
        <v>7284</v>
      </c>
      <c r="I24" s="18">
        <v>3478</v>
      </c>
      <c r="J24" s="18">
        <v>304</v>
      </c>
      <c r="K24" s="21">
        <v>720</v>
      </c>
      <c r="L24" s="19">
        <v>4265</v>
      </c>
      <c r="M24" s="19">
        <v>11153</v>
      </c>
      <c r="N24" s="19">
        <v>11042</v>
      </c>
      <c r="O24" s="18">
        <v>13642</v>
      </c>
      <c r="P24" s="18">
        <v>12277</v>
      </c>
      <c r="Q24" s="26"/>
    </row>
    <row r="25" spans="1:17" ht="11.25">
      <c r="A25" s="3" t="s">
        <v>22</v>
      </c>
      <c r="B25" s="3"/>
      <c r="C25" s="22">
        <v>170658</v>
      </c>
      <c r="D25" s="22">
        <v>155731</v>
      </c>
      <c r="E25" s="22">
        <v>142632</v>
      </c>
      <c r="F25" s="23">
        <v>131984</v>
      </c>
      <c r="G25" s="22">
        <v>128449</v>
      </c>
      <c r="H25" s="22">
        <v>125241</v>
      </c>
      <c r="I25" s="22">
        <v>140001</v>
      </c>
      <c r="J25" s="22">
        <v>137512</v>
      </c>
      <c r="K25" s="24">
        <v>126309</v>
      </c>
      <c r="L25" s="22">
        <v>130007</v>
      </c>
      <c r="M25" s="22">
        <v>123310</v>
      </c>
      <c r="N25" s="22">
        <v>111421</v>
      </c>
      <c r="O25" s="22">
        <v>111448</v>
      </c>
      <c r="P25" s="22">
        <v>110824</v>
      </c>
      <c r="Q25" s="26"/>
    </row>
    <row r="26" spans="1:17" ht="11.25">
      <c r="A26" s="12" t="s">
        <v>23</v>
      </c>
      <c r="E26" s="19"/>
      <c r="F26" s="25"/>
      <c r="H26" s="18"/>
      <c r="J26" s="18"/>
      <c r="K26" s="21"/>
      <c r="L26" s="19"/>
      <c r="M26" s="19"/>
      <c r="N26" s="19"/>
      <c r="O26" s="18"/>
      <c r="P26" s="18"/>
      <c r="Q26" s="26"/>
    </row>
    <row r="27" spans="1:17" ht="11.25">
      <c r="A27" s="2" t="s">
        <v>12</v>
      </c>
      <c r="C27" s="19">
        <f>(C10+G10)/2</f>
        <v>275495</v>
      </c>
      <c r="D27" s="19">
        <v>324506</v>
      </c>
      <c r="E27" s="19">
        <v>266009</v>
      </c>
      <c r="F27" s="20">
        <v>203159</v>
      </c>
      <c r="G27" s="18">
        <f>(G10+K10)/2</f>
        <v>213741</v>
      </c>
      <c r="H27" s="18">
        <f>(H10+L10)/2</f>
        <v>217714.5</v>
      </c>
      <c r="I27" s="18">
        <f>(I10+M10)/2</f>
        <v>224036</v>
      </c>
      <c r="J27" s="18">
        <f>(J10+N10)/2</f>
        <v>213547.5</v>
      </c>
      <c r="K27" s="21">
        <f>(K10+208623)/2</f>
        <v>215260</v>
      </c>
      <c r="L27" s="19">
        <f>(L10+200043)/2</f>
        <v>212624.5</v>
      </c>
      <c r="M27" s="19">
        <f>(M10+186182)/2</f>
        <v>201562.5</v>
      </c>
      <c r="N27" s="19">
        <f>(N10+183276)/2</f>
        <v>192926.5</v>
      </c>
      <c r="O27" s="18">
        <f>(O10+P10)/2</f>
        <v>197283.5</v>
      </c>
      <c r="P27" s="18">
        <f>(P10+201674)/2</f>
        <v>193809</v>
      </c>
      <c r="Q27" s="26"/>
    </row>
    <row r="28" spans="1:17" ht="11.25">
      <c r="A28" s="2" t="s">
        <v>24</v>
      </c>
      <c r="C28" s="19">
        <f aca="true" t="shared" si="4" ref="C28:P28">C29+C30</f>
        <v>250888.5</v>
      </c>
      <c r="D28" s="19">
        <f t="shared" si="4"/>
        <v>253612.5</v>
      </c>
      <c r="E28" s="19">
        <f t="shared" si="4"/>
        <v>232091</v>
      </c>
      <c r="F28" s="20">
        <f t="shared" si="4"/>
        <v>196788.5</v>
      </c>
      <c r="G28" s="18">
        <f t="shared" si="4"/>
        <v>199204</v>
      </c>
      <c r="H28" s="18">
        <f t="shared" si="4"/>
        <v>201357</v>
      </c>
      <c r="I28" s="18">
        <f t="shared" si="4"/>
        <v>208617</v>
      </c>
      <c r="J28" s="18">
        <f t="shared" si="4"/>
        <v>197806</v>
      </c>
      <c r="K28" s="21">
        <f t="shared" si="4"/>
        <v>139134.5</v>
      </c>
      <c r="L28" s="19">
        <f t="shared" si="4"/>
        <v>190353</v>
      </c>
      <c r="M28" s="19">
        <f t="shared" si="4"/>
        <v>181961</v>
      </c>
      <c r="N28" s="19">
        <f t="shared" si="4"/>
        <v>171296.5</v>
      </c>
      <c r="O28" s="18">
        <f t="shared" si="4"/>
        <v>171373</v>
      </c>
      <c r="P28" s="18">
        <f t="shared" si="4"/>
        <v>134602</v>
      </c>
      <c r="Q28" s="26"/>
    </row>
    <row r="29" spans="2:17" ht="11.25">
      <c r="B29" s="2" t="s">
        <v>14</v>
      </c>
      <c r="C29" s="19">
        <f aca="true" t="shared" si="5" ref="C29:K29">(C12+G12)/2</f>
        <v>57427.5</v>
      </c>
      <c r="D29" s="19">
        <f t="shared" si="5"/>
        <v>65888</v>
      </c>
      <c r="E29" s="19">
        <f t="shared" si="5"/>
        <v>69343.5</v>
      </c>
      <c r="F29" s="20">
        <f t="shared" si="5"/>
        <v>67610</v>
      </c>
      <c r="G29" s="18">
        <f t="shared" si="5"/>
        <v>72487</v>
      </c>
      <c r="H29" s="18">
        <f t="shared" si="5"/>
        <v>77298.5</v>
      </c>
      <c r="I29" s="18">
        <f t="shared" si="5"/>
        <v>81149.5</v>
      </c>
      <c r="J29" s="18">
        <f t="shared" si="5"/>
        <v>78253.5</v>
      </c>
      <c r="K29" s="21">
        <f t="shared" si="5"/>
        <v>80319.5</v>
      </c>
      <c r="L29" s="19">
        <f>(L12+70651)/2</f>
        <v>76287</v>
      </c>
      <c r="M29" s="19">
        <f>(M12+67309)/2</f>
        <v>74216.5</v>
      </c>
      <c r="N29" s="19">
        <f>(N12+62461)/2</f>
        <v>69755.5</v>
      </c>
      <c r="O29" s="18">
        <f>(O12+P12)/2</f>
        <v>66336</v>
      </c>
      <c r="P29" s="18">
        <f>(P12+22637)/2</f>
        <v>38712.5</v>
      </c>
      <c r="Q29" s="26"/>
    </row>
    <row r="30" spans="2:17" ht="11.25">
      <c r="B30" s="2" t="s">
        <v>17</v>
      </c>
      <c r="C30" s="19">
        <f aca="true" t="shared" si="6" ref="C30:J30">(C15+G15)/2</f>
        <v>193461</v>
      </c>
      <c r="D30" s="19">
        <f t="shared" si="6"/>
        <v>187724.5</v>
      </c>
      <c r="E30" s="19">
        <f t="shared" si="6"/>
        <v>162747.5</v>
      </c>
      <c r="F30" s="20">
        <f t="shared" si="6"/>
        <v>129178.5</v>
      </c>
      <c r="G30" s="18">
        <f t="shared" si="6"/>
        <v>126717</v>
      </c>
      <c r="H30" s="18">
        <f t="shared" si="6"/>
        <v>124058.5</v>
      </c>
      <c r="I30" s="18">
        <f t="shared" si="6"/>
        <v>127467.5</v>
      </c>
      <c r="J30" s="18">
        <f t="shared" si="6"/>
        <v>119552.5</v>
      </c>
      <c r="K30" s="21">
        <f>(K13+O13)/2</f>
        <v>58815</v>
      </c>
      <c r="L30" s="19">
        <f>(L15+102208)/2</f>
        <v>114066</v>
      </c>
      <c r="M30" s="19">
        <f>(M15+97464)/2</f>
        <v>107744.5</v>
      </c>
      <c r="N30" s="19">
        <f>(N15+97269)/2</f>
        <v>101541</v>
      </c>
      <c r="O30" s="18">
        <f>(O15+P15)/2</f>
        <v>105037</v>
      </c>
      <c r="P30" s="18">
        <f>(P15+86854)/2</f>
        <v>95889.5</v>
      </c>
      <c r="Q30" s="26"/>
    </row>
    <row r="31" spans="1:17" ht="11.25">
      <c r="A31" s="3" t="s">
        <v>22</v>
      </c>
      <c r="B31" s="3"/>
      <c r="C31" s="22">
        <f aca="true" t="shared" si="7" ref="C31:K31">(C25+G25)/2</f>
        <v>149553.5</v>
      </c>
      <c r="D31" s="22">
        <f t="shared" si="7"/>
        <v>140486</v>
      </c>
      <c r="E31" s="22">
        <f t="shared" si="7"/>
        <v>141316.5</v>
      </c>
      <c r="F31" s="23">
        <f t="shared" si="7"/>
        <v>134748</v>
      </c>
      <c r="G31" s="22">
        <f t="shared" si="7"/>
        <v>127379</v>
      </c>
      <c r="H31" s="22">
        <f t="shared" si="7"/>
        <v>127624</v>
      </c>
      <c r="I31" s="22">
        <f t="shared" si="7"/>
        <v>131655.5</v>
      </c>
      <c r="J31" s="22">
        <f t="shared" si="7"/>
        <v>124466.5</v>
      </c>
      <c r="K31" s="24">
        <f t="shared" si="7"/>
        <v>118878.5</v>
      </c>
      <c r="L31" s="22">
        <f>(L25+108201)/2</f>
        <v>119104</v>
      </c>
      <c r="M31" s="22">
        <f>(M25+102366)/2</f>
        <v>112838</v>
      </c>
      <c r="N31" s="22">
        <f>(N25+102613)/2</f>
        <v>107017</v>
      </c>
      <c r="O31" s="22">
        <f>(O25+P25)/2</f>
        <v>111136</v>
      </c>
      <c r="P31" s="22">
        <f>(P25+93596)/2</f>
        <v>102210</v>
      </c>
      <c r="Q31" s="26"/>
    </row>
    <row r="32" spans="1:17" ht="11.25">
      <c r="A32" s="12" t="s">
        <v>25</v>
      </c>
      <c r="E32" s="19"/>
      <c r="F32" s="25"/>
      <c r="H32" s="18"/>
      <c r="J32" s="18"/>
      <c r="K32" s="26"/>
      <c r="L32" s="4"/>
      <c r="M32" s="4"/>
      <c r="N32" s="4"/>
      <c r="Q32" s="26"/>
    </row>
    <row r="33" spans="1:17" ht="11.25">
      <c r="A33" s="2" t="s">
        <v>26</v>
      </c>
      <c r="C33" s="18">
        <v>7104</v>
      </c>
      <c r="D33" s="18">
        <v>4787</v>
      </c>
      <c r="E33" s="19">
        <v>2476</v>
      </c>
      <c r="F33" s="27">
        <v>1136</v>
      </c>
      <c r="G33" s="28">
        <v>7245</v>
      </c>
      <c r="H33" s="18">
        <f>I33+1762</f>
        <v>5847</v>
      </c>
      <c r="I33" s="18">
        <f>J33+1982</f>
        <v>4085</v>
      </c>
      <c r="J33" s="18">
        <v>2103</v>
      </c>
      <c r="K33" s="21">
        <f>2372+L33</f>
        <v>9024</v>
      </c>
      <c r="L33" s="19">
        <f>2402+M33</f>
        <v>6652</v>
      </c>
      <c r="M33" s="19">
        <f>2200+N33</f>
        <v>4250</v>
      </c>
      <c r="N33" s="19">
        <v>2050</v>
      </c>
      <c r="O33" s="18">
        <v>7161</v>
      </c>
      <c r="P33" s="18">
        <v>7507</v>
      </c>
      <c r="Q33" s="26"/>
    </row>
    <row r="34" spans="1:17" ht="11.25">
      <c r="A34" s="2" t="s">
        <v>27</v>
      </c>
      <c r="C34" s="18">
        <v>4240</v>
      </c>
      <c r="D34" s="18">
        <v>2858</v>
      </c>
      <c r="E34" s="19">
        <v>1657</v>
      </c>
      <c r="F34" s="27">
        <v>767</v>
      </c>
      <c r="G34" s="28">
        <v>4681</v>
      </c>
      <c r="H34" s="18">
        <f>I34+1162</f>
        <v>3728</v>
      </c>
      <c r="I34" s="18">
        <f>J34+1243</f>
        <v>2566</v>
      </c>
      <c r="J34" s="18">
        <v>1323</v>
      </c>
      <c r="K34" s="21">
        <f>1473+L34</f>
        <v>5697</v>
      </c>
      <c r="L34" s="19">
        <f>1505+M34</f>
        <v>4224</v>
      </c>
      <c r="M34" s="19">
        <f>1349+N34</f>
        <v>2719</v>
      </c>
      <c r="N34" s="19">
        <v>1370</v>
      </c>
      <c r="O34" s="18">
        <v>5114</v>
      </c>
      <c r="P34" s="18">
        <v>5506</v>
      </c>
      <c r="Q34" s="26"/>
    </row>
    <row r="35" spans="1:17" ht="11.25">
      <c r="A35" s="2" t="s">
        <v>28</v>
      </c>
      <c r="C35" s="19">
        <f aca="true" t="shared" si="8" ref="C35:P35">C33-C34</f>
        <v>2864</v>
      </c>
      <c r="D35" s="19">
        <f t="shared" si="8"/>
        <v>1929</v>
      </c>
      <c r="E35" s="19">
        <f t="shared" si="8"/>
        <v>819</v>
      </c>
      <c r="F35" s="20">
        <f t="shared" si="8"/>
        <v>369</v>
      </c>
      <c r="G35" s="18">
        <f t="shared" si="8"/>
        <v>2564</v>
      </c>
      <c r="H35" s="18">
        <f t="shared" si="8"/>
        <v>2119</v>
      </c>
      <c r="I35" s="18">
        <f t="shared" si="8"/>
        <v>1519</v>
      </c>
      <c r="J35" s="18">
        <f t="shared" si="8"/>
        <v>780</v>
      </c>
      <c r="K35" s="21">
        <f t="shared" si="8"/>
        <v>3327</v>
      </c>
      <c r="L35" s="19">
        <f t="shared" si="8"/>
        <v>2428</v>
      </c>
      <c r="M35" s="19">
        <f t="shared" si="8"/>
        <v>1531</v>
      </c>
      <c r="N35" s="19">
        <f t="shared" si="8"/>
        <v>680</v>
      </c>
      <c r="O35" s="18">
        <f t="shared" si="8"/>
        <v>2047</v>
      </c>
      <c r="P35" s="18">
        <f t="shared" si="8"/>
        <v>2001</v>
      </c>
      <c r="Q35" s="26"/>
    </row>
    <row r="36" spans="1:17" ht="11.25">
      <c r="A36" s="2" t="s">
        <v>29</v>
      </c>
      <c r="C36" s="18">
        <v>46195</v>
      </c>
      <c r="D36" s="18">
        <v>29229</v>
      </c>
      <c r="E36" s="19">
        <v>22764</v>
      </c>
      <c r="F36" s="27">
        <v>10333</v>
      </c>
      <c r="G36" s="28">
        <v>47324</v>
      </c>
      <c r="H36" s="18">
        <f>I36+14029</f>
        <v>42645</v>
      </c>
      <c r="I36" s="18">
        <f>J36+13049</f>
        <v>28616</v>
      </c>
      <c r="J36" s="18">
        <v>15567</v>
      </c>
      <c r="K36" s="21">
        <f>11389+L36</f>
        <v>46756</v>
      </c>
      <c r="L36" s="19">
        <f>9257+M36</f>
        <v>35367</v>
      </c>
      <c r="M36" s="19">
        <f>18033+N36</f>
        <v>26110</v>
      </c>
      <c r="N36" s="19">
        <v>8077</v>
      </c>
      <c r="O36" s="18">
        <v>31142</v>
      </c>
      <c r="P36" s="18">
        <v>37703</v>
      </c>
      <c r="Q36" s="26"/>
    </row>
    <row r="37" spans="1:17" ht="11.25">
      <c r="A37" s="2" t="s">
        <v>30</v>
      </c>
      <c r="C37" s="19">
        <f aca="true" t="shared" si="9" ref="C37:P37">C35+C36</f>
        <v>49059</v>
      </c>
      <c r="D37" s="19">
        <f t="shared" si="9"/>
        <v>31158</v>
      </c>
      <c r="E37" s="19">
        <f t="shared" si="9"/>
        <v>23583</v>
      </c>
      <c r="F37" s="20">
        <f t="shared" si="9"/>
        <v>10702</v>
      </c>
      <c r="G37" s="18">
        <f t="shared" si="9"/>
        <v>49888</v>
      </c>
      <c r="H37" s="18">
        <f t="shared" si="9"/>
        <v>44764</v>
      </c>
      <c r="I37" s="18">
        <f t="shared" si="9"/>
        <v>30135</v>
      </c>
      <c r="J37" s="18">
        <f t="shared" si="9"/>
        <v>16347</v>
      </c>
      <c r="K37" s="21">
        <f t="shared" si="9"/>
        <v>50083</v>
      </c>
      <c r="L37" s="19">
        <f t="shared" si="9"/>
        <v>37795</v>
      </c>
      <c r="M37" s="19">
        <f t="shared" si="9"/>
        <v>27641</v>
      </c>
      <c r="N37" s="19">
        <f t="shared" si="9"/>
        <v>8757</v>
      </c>
      <c r="O37" s="18">
        <f t="shared" si="9"/>
        <v>33189</v>
      </c>
      <c r="P37" s="18">
        <f t="shared" si="9"/>
        <v>39704</v>
      </c>
      <c r="Q37" s="26"/>
    </row>
    <row r="38" spans="1:17" ht="11.25">
      <c r="A38" s="2" t="s">
        <v>31</v>
      </c>
      <c r="C38" s="18">
        <v>4565</v>
      </c>
      <c r="D38" s="18">
        <v>3475</v>
      </c>
      <c r="E38" s="19">
        <v>2450</v>
      </c>
      <c r="F38" s="27">
        <v>1206</v>
      </c>
      <c r="G38" s="28">
        <v>5380</v>
      </c>
      <c r="H38" s="18">
        <f>I38+1437</f>
        <v>3997</v>
      </c>
      <c r="I38" s="18">
        <f>J38+1351</f>
        <v>2560</v>
      </c>
      <c r="J38" s="18">
        <v>1209</v>
      </c>
      <c r="K38" s="21">
        <f>1211+L38</f>
        <v>4627</v>
      </c>
      <c r="L38" s="19">
        <f>960+M38</f>
        <v>3416</v>
      </c>
      <c r="M38" s="19">
        <f>1221+N38</f>
        <v>2456</v>
      </c>
      <c r="N38" s="19">
        <v>1235</v>
      </c>
      <c r="O38" s="18">
        <v>4968</v>
      </c>
      <c r="P38" s="18">
        <v>3247</v>
      </c>
      <c r="Q38" s="26"/>
    </row>
    <row r="39" spans="1:17" ht="11.25">
      <c r="A39" s="2" t="s">
        <v>32</v>
      </c>
      <c r="C39" s="19">
        <f aca="true" t="shared" si="10" ref="C39:P39">C37-C38</f>
        <v>44494</v>
      </c>
      <c r="D39" s="19">
        <f t="shared" si="10"/>
        <v>27683</v>
      </c>
      <c r="E39" s="19">
        <f t="shared" si="10"/>
        <v>21133</v>
      </c>
      <c r="F39" s="20">
        <f t="shared" si="10"/>
        <v>9496</v>
      </c>
      <c r="G39" s="18">
        <f t="shared" si="10"/>
        <v>44508</v>
      </c>
      <c r="H39" s="18">
        <f t="shared" si="10"/>
        <v>40767</v>
      </c>
      <c r="I39" s="18">
        <f t="shared" si="10"/>
        <v>27575</v>
      </c>
      <c r="J39" s="18">
        <f t="shared" si="10"/>
        <v>15138</v>
      </c>
      <c r="K39" s="21">
        <f t="shared" si="10"/>
        <v>45456</v>
      </c>
      <c r="L39" s="19">
        <f t="shared" si="10"/>
        <v>34379</v>
      </c>
      <c r="M39" s="19">
        <f t="shared" si="10"/>
        <v>25185</v>
      </c>
      <c r="N39" s="19">
        <f t="shared" si="10"/>
        <v>7522</v>
      </c>
      <c r="O39" s="18">
        <f t="shared" si="10"/>
        <v>28221</v>
      </c>
      <c r="P39" s="18">
        <f t="shared" si="10"/>
        <v>36457</v>
      </c>
      <c r="Q39" s="26"/>
    </row>
    <row r="40" spans="1:17" ht="11.25">
      <c r="A40" s="3" t="s">
        <v>33</v>
      </c>
      <c r="B40" s="3"/>
      <c r="C40" s="22">
        <v>38602</v>
      </c>
      <c r="D40" s="22">
        <v>21791</v>
      </c>
      <c r="E40" s="22">
        <v>15241</v>
      </c>
      <c r="F40" s="29">
        <v>6146</v>
      </c>
      <c r="G40" s="30">
        <v>39059</v>
      </c>
      <c r="H40" s="22">
        <f>I40+13193</f>
        <v>39691</v>
      </c>
      <c r="I40" s="22">
        <f>J40+11636</f>
        <v>26498</v>
      </c>
      <c r="J40" s="22">
        <v>14862</v>
      </c>
      <c r="K40" s="24">
        <f>8737+L40</f>
        <v>42821</v>
      </c>
      <c r="L40" s="22">
        <f>9149+M40</f>
        <v>34084</v>
      </c>
      <c r="M40" s="22">
        <f>17618+N40</f>
        <v>24935</v>
      </c>
      <c r="N40" s="22">
        <v>7317</v>
      </c>
      <c r="O40" s="22">
        <v>28121</v>
      </c>
      <c r="P40" s="22">
        <v>36457</v>
      </c>
      <c r="Q40" s="26"/>
    </row>
    <row r="41" spans="1:17" ht="11.25">
      <c r="A41" s="12" t="s">
        <v>34</v>
      </c>
      <c r="E41" s="19"/>
      <c r="F41" s="25"/>
      <c r="H41" s="18"/>
      <c r="I41" s="18"/>
      <c r="K41" s="21"/>
      <c r="L41" s="19"/>
      <c r="M41" s="19"/>
      <c r="N41" s="19"/>
      <c r="O41" s="18"/>
      <c r="P41" s="18"/>
      <c r="Q41" s="26"/>
    </row>
    <row r="42" spans="1:17" ht="11.25">
      <c r="A42" s="2" t="s">
        <v>35</v>
      </c>
      <c r="C42" s="18">
        <v>1625</v>
      </c>
      <c r="D42" s="18">
        <v>8634</v>
      </c>
      <c r="E42" s="19">
        <v>9095</v>
      </c>
      <c r="F42" s="20">
        <v>10154</v>
      </c>
      <c r="G42" s="2">
        <v>9937</v>
      </c>
      <c r="H42" s="18">
        <v>12012</v>
      </c>
      <c r="I42" s="18">
        <v>5949</v>
      </c>
      <c r="J42" s="18">
        <v>7863</v>
      </c>
      <c r="K42" s="21">
        <v>10180</v>
      </c>
      <c r="L42" s="19">
        <v>8467</v>
      </c>
      <c r="M42" s="19">
        <v>2872</v>
      </c>
      <c r="N42" s="19">
        <v>2530</v>
      </c>
      <c r="O42" s="18">
        <v>2658</v>
      </c>
      <c r="P42" s="18">
        <v>449</v>
      </c>
      <c r="Q42" s="26"/>
    </row>
    <row r="43" spans="1:17" ht="11.25">
      <c r="A43" s="2" t="s">
        <v>36</v>
      </c>
      <c r="C43" s="18">
        <v>2712</v>
      </c>
      <c r="D43" s="18">
        <v>7250</v>
      </c>
      <c r="E43" s="19">
        <v>9332</v>
      </c>
      <c r="F43" s="20">
        <v>6861</v>
      </c>
      <c r="G43" s="2">
        <v>3511</v>
      </c>
      <c r="H43" s="18">
        <v>1528</v>
      </c>
      <c r="I43" s="18">
        <v>1975</v>
      </c>
      <c r="J43" s="18">
        <v>3250</v>
      </c>
      <c r="K43" s="21">
        <v>3342</v>
      </c>
      <c r="L43" s="19">
        <v>1012</v>
      </c>
      <c r="M43" s="19">
        <v>967</v>
      </c>
      <c r="N43" s="19">
        <v>932</v>
      </c>
      <c r="O43" s="18">
        <v>727</v>
      </c>
      <c r="P43" s="18">
        <v>536</v>
      </c>
      <c r="Q43" s="26"/>
    </row>
    <row r="44" spans="1:17" ht="11.25">
      <c r="A44" s="2" t="s">
        <v>37</v>
      </c>
      <c r="C44" s="31">
        <f aca="true" t="shared" si="11" ref="C44:P44">C42/C12</f>
        <v>0.030872406717835702</v>
      </c>
      <c r="D44" s="31">
        <f t="shared" si="11"/>
        <v>0.14608642685526715</v>
      </c>
      <c r="E44" s="31">
        <f t="shared" si="11"/>
        <v>0.1581409097231882</v>
      </c>
      <c r="F44" s="32">
        <f t="shared" si="11"/>
        <v>0.1820920682172767</v>
      </c>
      <c r="G44" s="33">
        <f t="shared" si="11"/>
        <v>0.1597100564136357</v>
      </c>
      <c r="H44" s="33">
        <f t="shared" si="11"/>
        <v>0.16528607204777498</v>
      </c>
      <c r="I44" s="33">
        <f t="shared" si="11"/>
        <v>0.07328611025562057</v>
      </c>
      <c r="J44" s="33">
        <f t="shared" si="11"/>
        <v>0.09895918547138705</v>
      </c>
      <c r="K44" s="34">
        <f t="shared" si="11"/>
        <v>0.1230137151833726</v>
      </c>
      <c r="L44" s="31">
        <f t="shared" si="11"/>
        <v>0.10335314868840252</v>
      </c>
      <c r="M44" s="31">
        <f t="shared" si="11"/>
        <v>0.03540259356047532</v>
      </c>
      <c r="N44" s="31">
        <f t="shared" si="11"/>
        <v>0.03283582089552239</v>
      </c>
      <c r="O44" s="33">
        <f t="shared" si="11"/>
        <v>0.0341276770581891</v>
      </c>
      <c r="P44" s="33">
        <f t="shared" si="11"/>
        <v>0.008195225231802584</v>
      </c>
      <c r="Q44" s="26"/>
    </row>
    <row r="45" spans="1:17" ht="11.25">
      <c r="A45" s="2" t="s">
        <v>38</v>
      </c>
      <c r="C45" s="31">
        <f aca="true" t="shared" si="12" ref="C45:P45">C43/C42</f>
        <v>1.668923076923077</v>
      </c>
      <c r="D45" s="31">
        <f t="shared" si="12"/>
        <v>0.8397034977993977</v>
      </c>
      <c r="E45" s="31">
        <f t="shared" si="12"/>
        <v>1.0260582737768005</v>
      </c>
      <c r="F45" s="32">
        <f t="shared" si="12"/>
        <v>0.6756943076620051</v>
      </c>
      <c r="G45" s="33">
        <f t="shared" si="12"/>
        <v>0.35332595350709467</v>
      </c>
      <c r="H45" s="33">
        <f t="shared" si="12"/>
        <v>0.1272061272061272</v>
      </c>
      <c r="I45" s="33">
        <f t="shared" si="12"/>
        <v>0.33198856950748024</v>
      </c>
      <c r="J45" s="33">
        <f t="shared" si="12"/>
        <v>0.4133282462164568</v>
      </c>
      <c r="K45" s="34">
        <f t="shared" si="12"/>
        <v>0.3282907662082515</v>
      </c>
      <c r="L45" s="31">
        <f t="shared" si="12"/>
        <v>0.11952285343096729</v>
      </c>
      <c r="M45" s="31">
        <f t="shared" si="12"/>
        <v>0.3366991643454039</v>
      </c>
      <c r="N45" s="31">
        <f t="shared" si="12"/>
        <v>0.3683794466403162</v>
      </c>
      <c r="O45" s="33">
        <f t="shared" si="12"/>
        <v>0.2735139202407825</v>
      </c>
      <c r="P45" s="33">
        <f t="shared" si="12"/>
        <v>1.1937639198218264</v>
      </c>
      <c r="Q45" s="26"/>
    </row>
    <row r="46" spans="1:17" ht="11.25">
      <c r="A46" s="3" t="s">
        <v>39</v>
      </c>
      <c r="B46" s="3"/>
      <c r="C46" s="35">
        <f aca="true" t="shared" si="13" ref="C46:P46">C43/C12</f>
        <v>0.05152367201155103</v>
      </c>
      <c r="D46" s="35">
        <f t="shared" si="13"/>
        <v>0.12266928361138371</v>
      </c>
      <c r="E46" s="35">
        <f t="shared" si="13"/>
        <v>0.16226178884406733</v>
      </c>
      <c r="F46" s="36">
        <f t="shared" si="13"/>
        <v>0.12303857396481538</v>
      </c>
      <c r="G46" s="35">
        <f t="shared" si="13"/>
        <v>0.056429707967019724</v>
      </c>
      <c r="H46" s="35">
        <f t="shared" si="13"/>
        <v>0.021025401106310373</v>
      </c>
      <c r="I46" s="35">
        <f t="shared" si="13"/>
        <v>0.02433015090853095</v>
      </c>
      <c r="J46" s="35">
        <f t="shared" si="13"/>
        <v>0.04090262657789748</v>
      </c>
      <c r="K46" s="37">
        <f t="shared" si="13"/>
        <v>0.04038426681167301</v>
      </c>
      <c r="L46" s="35">
        <f t="shared" si="13"/>
        <v>0.012353063242312903</v>
      </c>
      <c r="M46" s="35">
        <f t="shared" si="13"/>
        <v>0.011920023667472019</v>
      </c>
      <c r="N46" s="35">
        <f t="shared" si="13"/>
        <v>0.012096041531473069</v>
      </c>
      <c r="O46" s="35">
        <f t="shared" si="13"/>
        <v>0.009334394740896718</v>
      </c>
      <c r="P46" s="35">
        <f t="shared" si="13"/>
        <v>0.009783164196539388</v>
      </c>
      <c r="Q46" s="26"/>
    </row>
    <row r="47" spans="1:17" ht="11.25">
      <c r="A47" s="12" t="s">
        <v>40</v>
      </c>
      <c r="E47" s="4"/>
      <c r="F47" s="25"/>
      <c r="K47" s="21"/>
      <c r="L47" s="19"/>
      <c r="M47" s="19"/>
      <c r="N47" s="19"/>
      <c r="O47" s="18"/>
      <c r="P47" s="18"/>
      <c r="Q47" s="26"/>
    </row>
    <row r="48" spans="1:17" ht="11.25">
      <c r="A48" s="2" t="s">
        <v>41</v>
      </c>
      <c r="C48" s="31">
        <f aca="true" t="shared" si="14" ref="C48:P48">C25/(C12+C15)</f>
        <v>0.550577167523761</v>
      </c>
      <c r="D48" s="31">
        <f t="shared" si="14"/>
        <v>0.49856574827601663</v>
      </c>
      <c r="E48" s="31">
        <f t="shared" si="14"/>
        <v>0.5795763459123842</v>
      </c>
      <c r="F48" s="32">
        <f t="shared" si="14"/>
        <v>0.7298869644081669</v>
      </c>
      <c r="G48" s="33">
        <f t="shared" si="14"/>
        <v>0.6696504444386518</v>
      </c>
      <c r="H48" s="33">
        <f t="shared" si="14"/>
        <v>0.6426998927473611</v>
      </c>
      <c r="I48" s="33">
        <f t="shared" si="14"/>
        <v>0.6419561180273746</v>
      </c>
      <c r="J48" s="33">
        <f t="shared" si="14"/>
        <v>0.6463579147258036</v>
      </c>
      <c r="K48" s="34">
        <f t="shared" si="14"/>
        <v>0.6113905117791987</v>
      </c>
      <c r="L48" s="31">
        <f t="shared" si="14"/>
        <v>0.6254937526161071</v>
      </c>
      <c r="M48" s="31">
        <f t="shared" si="14"/>
        <v>0.6191846306032167</v>
      </c>
      <c r="N48" s="31">
        <f t="shared" si="14"/>
        <v>0.609314076658482</v>
      </c>
      <c r="O48" s="33">
        <f t="shared" si="14"/>
        <v>0.6088956636234996</v>
      </c>
      <c r="P48" s="33">
        <f t="shared" si="14"/>
        <v>0.6938946735707174</v>
      </c>
      <c r="Q48" s="26"/>
    </row>
    <row r="49" spans="1:17" ht="11.25">
      <c r="A49" s="3" t="s">
        <v>42</v>
      </c>
      <c r="B49" s="3"/>
      <c r="C49" s="35">
        <f>C25/C10</f>
        <v>0.4940808615972554</v>
      </c>
      <c r="D49" s="35">
        <f>D25/D10</f>
        <v>0.47990027950090447</v>
      </c>
      <c r="E49" s="35">
        <f>E25/E10</f>
        <v>0.5361923844681947</v>
      </c>
      <c r="F49" s="36">
        <f>F25/F12</f>
        <v>2.3668740921399496</v>
      </c>
      <c r="G49" s="35">
        <f>G25/G12</f>
        <v>2.064465838409489</v>
      </c>
      <c r="H49" s="35">
        <f aca="true" t="shared" si="15" ref="H49:P49">H25/H10</f>
        <v>0.5957530812518136</v>
      </c>
      <c r="I49" s="35">
        <f t="shared" si="15"/>
        <v>0.6057266721181678</v>
      </c>
      <c r="J49" s="35">
        <f t="shared" si="15"/>
        <v>0.6124765052245255</v>
      </c>
      <c r="K49" s="37">
        <f t="shared" si="15"/>
        <v>0.5692235586781255</v>
      </c>
      <c r="L49" s="35">
        <f t="shared" si="15"/>
        <v>0.5772803566512438</v>
      </c>
      <c r="M49" s="35">
        <f t="shared" si="15"/>
        <v>0.5683981506663041</v>
      </c>
      <c r="N49" s="35">
        <f t="shared" si="15"/>
        <v>0.5500180178401299</v>
      </c>
      <c r="O49" s="35">
        <f t="shared" si="15"/>
        <v>0.5342076377005411</v>
      </c>
      <c r="P49" s="35">
        <f t="shared" si="15"/>
        <v>0.5960074000774427</v>
      </c>
      <c r="Q49" s="26"/>
    </row>
    <row r="50" spans="1:17" ht="11.25">
      <c r="A50" s="12" t="s">
        <v>43</v>
      </c>
      <c r="E50" s="4"/>
      <c r="F50" s="25"/>
      <c r="J50" s="38"/>
      <c r="K50" s="39"/>
      <c r="L50" s="40"/>
      <c r="M50" s="40"/>
      <c r="N50" s="40"/>
      <c r="O50" s="38"/>
      <c r="P50" s="38"/>
      <c r="Q50" s="26"/>
    </row>
    <row r="51" spans="1:17" ht="11.25">
      <c r="A51" s="2" t="s">
        <v>44</v>
      </c>
      <c r="C51" s="40">
        <f aca="true" t="shared" si="16" ref="C51:P51">C11/C16</f>
        <v>0.15794864508031237</v>
      </c>
      <c r="D51" s="40">
        <f t="shared" si="16"/>
        <v>0.03381319471605748</v>
      </c>
      <c r="E51" s="40">
        <f t="shared" si="16"/>
        <v>0.09910227869178838</v>
      </c>
      <c r="F51" s="41">
        <f t="shared" si="16"/>
        <v>0.2494392463470905</v>
      </c>
      <c r="G51" s="38">
        <f t="shared" si="16"/>
        <v>0.10624666310731447</v>
      </c>
      <c r="H51" s="38">
        <f t="shared" si="16"/>
        <v>0.11762530289503889</v>
      </c>
      <c r="I51" s="38">
        <f t="shared" si="16"/>
        <v>0.0891182414787565</v>
      </c>
      <c r="J51" s="38">
        <f t="shared" si="16"/>
        <v>0.08110700927769952</v>
      </c>
      <c r="K51" s="39">
        <f t="shared" si="16"/>
        <v>0.11822381337336875</v>
      </c>
      <c r="L51" s="40">
        <f t="shared" si="16"/>
        <v>0.1221151352753047</v>
      </c>
      <c r="M51" s="40">
        <f t="shared" si="16"/>
        <v>0.1345803693609129</v>
      </c>
      <c r="N51" s="40">
        <f t="shared" si="16"/>
        <v>0.1585756416754988</v>
      </c>
      <c r="O51" s="38">
        <f t="shared" si="16"/>
        <v>0.20942820697687317</v>
      </c>
      <c r="P51" s="38">
        <f t="shared" si="16"/>
        <v>0.29452121515746116</v>
      </c>
      <c r="Q51" s="26"/>
    </row>
    <row r="52" spans="1:17" ht="11.25">
      <c r="A52" s="2" t="s">
        <v>45</v>
      </c>
      <c r="C52" s="40">
        <f aca="true" t="shared" si="17" ref="C52:P52">C11/C10</f>
        <v>0.07723686686643216</v>
      </c>
      <c r="D52" s="40">
        <f t="shared" si="17"/>
        <v>0.016517363261809453</v>
      </c>
      <c r="E52" s="40">
        <f t="shared" si="17"/>
        <v>0.041167780037517525</v>
      </c>
      <c r="F52" s="41">
        <f t="shared" si="17"/>
        <v>0.07663946127415751</v>
      </c>
      <c r="G52" s="38">
        <f t="shared" si="17"/>
        <v>0.036782839214923264</v>
      </c>
      <c r="H52" s="38">
        <f t="shared" si="17"/>
        <v>0.043872459245658184</v>
      </c>
      <c r="I52" s="38">
        <f t="shared" si="17"/>
        <v>0.033959390643320396</v>
      </c>
      <c r="J52" s="38">
        <f t="shared" si="17"/>
        <v>0.029748171638799562</v>
      </c>
      <c r="K52" s="39">
        <f t="shared" si="17"/>
        <v>0.04613401713407572</v>
      </c>
      <c r="L52" s="40">
        <f t="shared" si="17"/>
        <v>0.050185163805582446</v>
      </c>
      <c r="M52" s="40">
        <f t="shared" si="17"/>
        <v>0.05485311810014612</v>
      </c>
      <c r="N52" s="40">
        <f t="shared" si="17"/>
        <v>0.06794947106532331</v>
      </c>
      <c r="O52" s="38">
        <f t="shared" si="17"/>
        <v>0.09050296467791183</v>
      </c>
      <c r="P52" s="38">
        <f t="shared" si="17"/>
        <v>0.1138192143871273</v>
      </c>
      <c r="Q52" s="26"/>
    </row>
    <row r="53" spans="1:17" ht="11.25">
      <c r="A53" s="3" t="s">
        <v>46</v>
      </c>
      <c r="B53" s="3"/>
      <c r="C53" s="42">
        <f aca="true" t="shared" si="18" ref="C53:P53">(C11+C15)/C16</f>
        <v>1.681462140992167</v>
      </c>
      <c r="D53" s="42">
        <f t="shared" si="18"/>
        <v>1.6314614113223735</v>
      </c>
      <c r="E53" s="42">
        <f t="shared" si="18"/>
        <v>1.805722973339849</v>
      </c>
      <c r="F53" s="43">
        <f t="shared" si="18"/>
        <v>2.2531722635221736</v>
      </c>
      <c r="G53" s="42">
        <f t="shared" si="18"/>
        <v>1.9270801135246016</v>
      </c>
      <c r="H53" s="42">
        <f t="shared" si="18"/>
        <v>1.6760107129192705</v>
      </c>
      <c r="I53" s="42">
        <f t="shared" si="18"/>
        <v>1.643606512705225</v>
      </c>
      <c r="J53" s="42">
        <f t="shared" si="18"/>
        <v>1.6997498421333852</v>
      </c>
      <c r="K53" s="44">
        <f t="shared" si="18"/>
        <v>1.5483889594641413</v>
      </c>
      <c r="L53" s="42">
        <f t="shared" si="18"/>
        <v>1.4826908116518283</v>
      </c>
      <c r="M53" s="42">
        <f t="shared" si="18"/>
        <v>1.4693575201022357</v>
      </c>
      <c r="N53" s="42">
        <f t="shared" si="18"/>
        <v>1.377563245933367</v>
      </c>
      <c r="O53" s="42">
        <f t="shared" si="18"/>
        <v>1.3757417780489158</v>
      </c>
      <c r="P53" s="42">
        <f t="shared" si="18"/>
        <v>1.7546723444523302</v>
      </c>
      <c r="Q53" s="26"/>
    </row>
    <row r="54" spans="1:17" ht="11.25">
      <c r="A54" s="12" t="s">
        <v>47</v>
      </c>
      <c r="E54" s="4"/>
      <c r="F54" s="45"/>
      <c r="K54" s="26"/>
      <c r="L54" s="4"/>
      <c r="M54" s="4"/>
      <c r="N54" s="4"/>
      <c r="Q54" s="26"/>
    </row>
    <row r="55" spans="1:17" ht="11.25">
      <c r="A55" s="2" t="s">
        <v>48</v>
      </c>
      <c r="B55" s="4"/>
      <c r="C55" s="31">
        <f>(C40)/C28</f>
        <v>0.1538611773756071</v>
      </c>
      <c r="D55" s="31">
        <f>(D40/0.75)/D28</f>
        <v>0.11456322802175235</v>
      </c>
      <c r="E55" s="31">
        <f>(E40/0.5)/E28</f>
        <v>0.13133641545772995</v>
      </c>
      <c r="F55" s="32">
        <f>((F40)/0.25)/F28</f>
        <v>0.12492599923267873</v>
      </c>
      <c r="G55" s="46">
        <f>G40/G28</f>
        <v>0.19607538001244956</v>
      </c>
      <c r="H55" s="46">
        <f>(H40/0.75)/H28</f>
        <v>0.2628234098309636</v>
      </c>
      <c r="I55" s="33">
        <f>(I40/0.5)/I28</f>
        <v>0.2540349060718925</v>
      </c>
      <c r="J55" s="33">
        <f>((J40)/0.25)/J28</f>
        <v>0.30053688967978726</v>
      </c>
      <c r="K55" s="47">
        <f>K40/K28</f>
        <v>0.3077669449345777</v>
      </c>
      <c r="L55" s="46">
        <f>(L40/0.75)/L28</f>
        <v>0.23874240665150187</v>
      </c>
      <c r="M55" s="46">
        <f>(M40/0.5)/M28</f>
        <v>0.27406971823632537</v>
      </c>
      <c r="N55" s="31">
        <f>((N40)/0.25)/N28</f>
        <v>0.17086163465102908</v>
      </c>
      <c r="O55" s="33">
        <f>O40/O28</f>
        <v>0.1640923599400139</v>
      </c>
      <c r="P55" s="33">
        <f>P40/P28</f>
        <v>0.27085035883567854</v>
      </c>
      <c r="Q55" s="26"/>
    </row>
    <row r="56" spans="1:17" ht="11.25">
      <c r="A56" s="2" t="s">
        <v>49</v>
      </c>
      <c r="B56" s="4"/>
      <c r="C56" s="31">
        <f>(C40)/C27</f>
        <v>0.14011869543911867</v>
      </c>
      <c r="D56" s="31">
        <f>(D40/0.75)/D27</f>
        <v>0.08953506766182033</v>
      </c>
      <c r="E56" s="31">
        <f>(E40/0.5)/E27</f>
        <v>0.11459010785349368</v>
      </c>
      <c r="F56" s="32">
        <f>((F40)/0.25)/F27</f>
        <v>0.12100866808755703</v>
      </c>
      <c r="G56" s="46">
        <f>G40/G27</f>
        <v>0.18273985805250278</v>
      </c>
      <c r="H56" s="46">
        <f>(H40/0.75)/H27</f>
        <v>0.24307675112743218</v>
      </c>
      <c r="I56" s="33">
        <f>(I40/0.5)/I27</f>
        <v>0.23655126854612651</v>
      </c>
      <c r="J56" s="33">
        <f>((J40)/0.25)/J27</f>
        <v>0.27838302953675415</v>
      </c>
      <c r="K56" s="47">
        <f>K40/K27</f>
        <v>0.19892687912292112</v>
      </c>
      <c r="L56" s="46">
        <f>(L40/0.75)/L27</f>
        <v>0.21373516849343954</v>
      </c>
      <c r="M56" s="46">
        <f>(M40/0.5)/M27</f>
        <v>0.2474170542635659</v>
      </c>
      <c r="N56" s="31">
        <f>((N40)/0.25)/N27</f>
        <v>0.15170544222799875</v>
      </c>
      <c r="O56" s="33">
        <f>O40/O27</f>
        <v>0.1425410640018045</v>
      </c>
      <c r="P56" s="33">
        <f>P40/P27</f>
        <v>0.18810787940704507</v>
      </c>
      <c r="Q56" s="26"/>
    </row>
    <row r="57" spans="1:17" ht="11.25">
      <c r="A57" s="2" t="s">
        <v>50</v>
      </c>
      <c r="B57" s="4"/>
      <c r="C57" s="31">
        <f>(C40)/C31</f>
        <v>0.2581149889504425</v>
      </c>
      <c r="D57" s="31">
        <f>(D40/0.75)/D31</f>
        <v>0.20681538848473632</v>
      </c>
      <c r="E57" s="31">
        <f>(E40/0.5)/E31</f>
        <v>0.2157002190119342</v>
      </c>
      <c r="F57" s="32">
        <f>((F40)/0.25)/F31</f>
        <v>0.1824442663341942</v>
      </c>
      <c r="G57" s="46">
        <f>+G40/G31</f>
        <v>0.30663610171221317</v>
      </c>
      <c r="H57" s="46">
        <f>(H40/0.75)/H31</f>
        <v>0.41466599803589715</v>
      </c>
      <c r="I57" s="33">
        <f>(I40/0.5)/I31</f>
        <v>0.40253540490142836</v>
      </c>
      <c r="J57" s="33">
        <f>((J40)/0.25)/J31</f>
        <v>0.4776224927992673</v>
      </c>
      <c r="K57" s="47">
        <f>+K40/K31</f>
        <v>0.3602081116434006</v>
      </c>
      <c r="L57" s="46">
        <f>(L40/0.75)/L31</f>
        <v>0.381560093139889</v>
      </c>
      <c r="M57" s="46">
        <f>(M40/0.5)/M31</f>
        <v>0.44196104149311405</v>
      </c>
      <c r="N57" s="31">
        <f>((N40)/0.25)/N31</f>
        <v>0.27348925871590496</v>
      </c>
      <c r="O57" s="33">
        <f>O40/O31</f>
        <v>0.25303232076014975</v>
      </c>
      <c r="P57" s="33">
        <f>P40/P31</f>
        <v>0.3566872126015067</v>
      </c>
      <c r="Q57" s="26"/>
    </row>
    <row r="58" spans="1:17" ht="11.25">
      <c r="A58" s="2" t="s">
        <v>51</v>
      </c>
      <c r="B58" s="4"/>
      <c r="C58" s="31">
        <f>(C33)/C28</f>
        <v>0.028315367185024424</v>
      </c>
      <c r="D58" s="31">
        <f>(D33/0.75)/D28</f>
        <v>0.025167003466574665</v>
      </c>
      <c r="E58" s="31">
        <f>(E33/0.5)/E28</f>
        <v>0.021336458544277893</v>
      </c>
      <c r="F58" s="32">
        <f>((F33)/0.25)/F28</f>
        <v>0.023090780203111463</v>
      </c>
      <c r="G58" s="46">
        <f>G33/G28</f>
        <v>0.036369751611413426</v>
      </c>
      <c r="H58" s="46">
        <f>(H33/0.75)/H28</f>
        <v>0.03871730309847683</v>
      </c>
      <c r="I58" s="33">
        <f>(I33/0.5)/I28</f>
        <v>0.039162676100221935</v>
      </c>
      <c r="J58" s="33">
        <f>((J33)/0.25)/J28</f>
        <v>0.042526515879194766</v>
      </c>
      <c r="K58" s="47">
        <f>K33/K28</f>
        <v>0.06485810492724665</v>
      </c>
      <c r="L58" s="46">
        <f>(L33/0.75)/L28</f>
        <v>0.04659413475665387</v>
      </c>
      <c r="M58" s="46">
        <f>(M33/0.5)/M28</f>
        <v>0.046713306697589045</v>
      </c>
      <c r="N58" s="31">
        <f>((N33)/0.25)/N28</f>
        <v>0.04787021334353008</v>
      </c>
      <c r="O58" s="33">
        <f>O33/O28</f>
        <v>0.041786045643129315</v>
      </c>
      <c r="P58" s="33">
        <f>P33/P27</f>
        <v>0.038734011320423714</v>
      </c>
      <c r="Q58" s="26"/>
    </row>
    <row r="59" spans="1:17" ht="11.25">
      <c r="A59" s="2" t="s">
        <v>52</v>
      </c>
      <c r="B59" s="4"/>
      <c r="C59" s="31">
        <f>(C34)/C28</f>
        <v>0.016899937621692503</v>
      </c>
      <c r="D59" s="31">
        <f>(D34/0.75)/D28</f>
        <v>0.015025547505216291</v>
      </c>
      <c r="E59" s="31">
        <f>(E34/0.5)/E28</f>
        <v>0.014278881990253824</v>
      </c>
      <c r="F59" s="32">
        <f>((F34)/0.25)/F28</f>
        <v>0.01559034191530501</v>
      </c>
      <c r="G59" s="46">
        <f>G34/G28</f>
        <v>0.023498524126021565</v>
      </c>
      <c r="H59" s="46">
        <f>(H34/0.75)/H28</f>
        <v>0.024685839909547057</v>
      </c>
      <c r="I59" s="33">
        <f>(I34/0.5)/I28</f>
        <v>0.02460010449771591</v>
      </c>
      <c r="J59" s="33">
        <f>((J34)/0.25)/J28</f>
        <v>0.026753485738551915</v>
      </c>
      <c r="K59" s="47">
        <f>K34/K28</f>
        <v>0.040945991109322274</v>
      </c>
      <c r="L59" s="46">
        <f>(L34/0.75)/L28</f>
        <v>0.029587135479871608</v>
      </c>
      <c r="M59" s="46">
        <f>(M34/0.5)/M28</f>
        <v>0.029885524920175204</v>
      </c>
      <c r="N59" s="31">
        <f>((N34)/0.25)/N28</f>
        <v>0.03199131330762742</v>
      </c>
      <c r="O59" s="33">
        <f>O34/O28</f>
        <v>0.02984134023445934</v>
      </c>
      <c r="P59" s="33">
        <f>P34/P27</f>
        <v>0.028409413391534966</v>
      </c>
      <c r="Q59" s="26"/>
    </row>
    <row r="60" spans="1:17" ht="11.25">
      <c r="A60" s="2" t="s">
        <v>53</v>
      </c>
      <c r="B60" s="4"/>
      <c r="C60" s="31">
        <f>(C35)/C28</f>
        <v>0.011415429563331919</v>
      </c>
      <c r="D60" s="31">
        <f>(D35/0.75)/D28</f>
        <v>0.010141455961358372</v>
      </c>
      <c r="E60" s="31">
        <f>(E35/0.5)/E28</f>
        <v>0.007057576554024068</v>
      </c>
      <c r="F60" s="32">
        <f>((F35)/0.25)/F28</f>
        <v>0.007500438287806452</v>
      </c>
      <c r="G60" s="46">
        <f>G35/G28</f>
        <v>0.01287122748539186</v>
      </c>
      <c r="H60" s="46">
        <f>(H35/0.75)/H28</f>
        <v>0.014031463188929779</v>
      </c>
      <c r="I60" s="33">
        <f>(I35/0.5)/I28</f>
        <v>0.014562571602506028</v>
      </c>
      <c r="J60" s="33">
        <f>((J35)/0.25)/J28</f>
        <v>0.015773030140642852</v>
      </c>
      <c r="K60" s="47">
        <f>K35/K28</f>
        <v>0.023912113817924383</v>
      </c>
      <c r="L60" s="46">
        <f>(L35/0.75)/L28</f>
        <v>0.01700699927678226</v>
      </c>
      <c r="M60" s="46">
        <f>(M35/0.5)/M28</f>
        <v>0.01682778177741384</v>
      </c>
      <c r="N60" s="31">
        <f>((N35)/0.25)/N28</f>
        <v>0.01587890003590266</v>
      </c>
      <c r="O60" s="33">
        <f>O35/O28</f>
        <v>0.011944705408669978</v>
      </c>
      <c r="P60" s="33">
        <f>P35/P27</f>
        <v>0.010324597928888752</v>
      </c>
      <c r="Q60" s="26"/>
    </row>
    <row r="61" spans="1:17" ht="11.25">
      <c r="A61" s="2" t="s">
        <v>54</v>
      </c>
      <c r="B61" s="4"/>
      <c r="C61" s="31">
        <f>(C38)/(C37)</f>
        <v>0.09305122403636437</v>
      </c>
      <c r="D61" s="31">
        <f>(D38/0.75)/(D37/0.75)</f>
        <v>0.11152833943128569</v>
      </c>
      <c r="E61" s="31">
        <f>(E38/0.5)/(E37/0.5)</f>
        <v>0.10388839418224993</v>
      </c>
      <c r="F61" s="32">
        <f>(F38/0.25)/(F37/0.25)</f>
        <v>0.11268921696879088</v>
      </c>
      <c r="G61" s="46">
        <f>G38/G37</f>
        <v>0.10784156510583708</v>
      </c>
      <c r="H61" s="46">
        <f>(H38/0.75)/(H37/0.75)</f>
        <v>0.08929050129568403</v>
      </c>
      <c r="I61" s="33">
        <f>(I38/0.5)/(I37/0.5)</f>
        <v>0.08495105359216858</v>
      </c>
      <c r="J61" s="33">
        <f>(J38/0.25)/(J37/0.25)</f>
        <v>0.07395852449990824</v>
      </c>
      <c r="K61" s="47">
        <f>K38/K37</f>
        <v>0.09238663818062016</v>
      </c>
      <c r="L61" s="46">
        <f>(L38/0.75)/(L37/0.75)</f>
        <v>0.09038232570445827</v>
      </c>
      <c r="M61" s="46">
        <f>(M38/0.5)/(M37/0.5)</f>
        <v>0.08885351470641438</v>
      </c>
      <c r="N61" s="31">
        <f>(N38/0.25)/(N37/0.25)</f>
        <v>0.14103003311636406</v>
      </c>
      <c r="O61" s="33">
        <f>O38/O37</f>
        <v>0.1496881496881497</v>
      </c>
      <c r="P61" s="33">
        <f>P38/P37</f>
        <v>0.08178017328228894</v>
      </c>
      <c r="Q61" s="26"/>
    </row>
    <row r="62" spans="1:17" ht="11.25">
      <c r="A62" s="3" t="s">
        <v>55</v>
      </c>
      <c r="B62" s="3"/>
      <c r="C62" s="35">
        <f>(C36)/C28</f>
        <v>0.1841256175552088</v>
      </c>
      <c r="D62" s="35">
        <f>(D36/0.75)/D28</f>
        <v>0.1536675045591207</v>
      </c>
      <c r="E62" s="35">
        <f>(E36/0.5)/E28</f>
        <v>0.19616443550159204</v>
      </c>
      <c r="F62" s="36">
        <f>(F36/0.25)/F28</f>
        <v>0.21003259844960454</v>
      </c>
      <c r="G62" s="48">
        <f>G36/G28</f>
        <v>0.2375655107327162</v>
      </c>
      <c r="H62" s="48">
        <f>(H36/0.75)/H28</f>
        <v>0.28238402439448346</v>
      </c>
      <c r="I62" s="35">
        <f>(I36/0.5)/I28</f>
        <v>0.2743400585762426</v>
      </c>
      <c r="J62" s="35">
        <f>(J36/0.25)/J28</f>
        <v>0.3147932823069068</v>
      </c>
      <c r="K62" s="49">
        <f>K36/K28</f>
        <v>0.33604893107029526</v>
      </c>
      <c r="L62" s="48">
        <f>(L36/0.75)/L28</f>
        <v>0.24772921887230567</v>
      </c>
      <c r="M62" s="48">
        <f>(M36/0.5)/M28</f>
        <v>0.2869845736174235</v>
      </c>
      <c r="N62" s="35">
        <f>(N36/0.25)/N28</f>
        <v>0.1886086405735085</v>
      </c>
      <c r="O62" s="35">
        <f>O36/O28</f>
        <v>0.181720574419541</v>
      </c>
      <c r="P62" s="35">
        <f>P36/P27</f>
        <v>0.19453688941174044</v>
      </c>
      <c r="Q62" s="26"/>
    </row>
    <row r="63" spans="1:17" ht="11.25">
      <c r="A63" s="12" t="s">
        <v>56</v>
      </c>
      <c r="E63" s="4"/>
      <c r="F63" s="25"/>
      <c r="K63" s="26"/>
      <c r="L63" s="4"/>
      <c r="M63" s="4"/>
      <c r="N63" s="4"/>
      <c r="Q63" s="26"/>
    </row>
    <row r="64" spans="1:17" ht="11.25">
      <c r="A64" s="2" t="s">
        <v>57</v>
      </c>
      <c r="C64" s="18">
        <v>122</v>
      </c>
      <c r="D64" s="18">
        <v>120</v>
      </c>
      <c r="E64" s="4">
        <v>141</v>
      </c>
      <c r="F64" s="20">
        <v>154</v>
      </c>
      <c r="G64" s="2">
        <v>154</v>
      </c>
      <c r="H64" s="18">
        <v>166</v>
      </c>
      <c r="I64" s="18">
        <v>162</v>
      </c>
      <c r="J64" s="18">
        <v>144</v>
      </c>
      <c r="K64" s="21">
        <v>147</v>
      </c>
      <c r="L64" s="19">
        <v>151</v>
      </c>
      <c r="M64" s="19">
        <v>153</v>
      </c>
      <c r="N64" s="19">
        <v>136</v>
      </c>
      <c r="O64" s="18">
        <v>133</v>
      </c>
      <c r="P64" s="18">
        <v>67</v>
      </c>
      <c r="Q64" s="26"/>
    </row>
    <row r="65" spans="1:17" ht="11.25">
      <c r="A65" s="2" t="s">
        <v>58</v>
      </c>
      <c r="C65" s="18">
        <v>1</v>
      </c>
      <c r="D65" s="18">
        <v>1</v>
      </c>
      <c r="E65" s="4">
        <v>1</v>
      </c>
      <c r="F65" s="20">
        <v>1</v>
      </c>
      <c r="G65" s="2">
        <v>1</v>
      </c>
      <c r="H65" s="18">
        <v>1</v>
      </c>
      <c r="I65" s="18">
        <v>1</v>
      </c>
      <c r="J65" s="18">
        <v>1</v>
      </c>
      <c r="K65" s="21">
        <v>1</v>
      </c>
      <c r="L65" s="19">
        <v>1</v>
      </c>
      <c r="M65" s="19">
        <v>1</v>
      </c>
      <c r="N65" s="19">
        <v>1</v>
      </c>
      <c r="O65" s="18">
        <v>1</v>
      </c>
      <c r="P65" s="18">
        <v>1</v>
      </c>
      <c r="Q65" s="26"/>
    </row>
    <row r="66" spans="1:17" ht="11.25">
      <c r="A66" s="2" t="s">
        <v>59</v>
      </c>
      <c r="C66" s="19">
        <f aca="true" t="shared" si="19" ref="C66:P66">C12/C64</f>
        <v>431.44262295081967</v>
      </c>
      <c r="D66" s="19">
        <f t="shared" si="19"/>
        <v>492.51666666666665</v>
      </c>
      <c r="E66" s="19">
        <f t="shared" si="19"/>
        <v>407.88652482269504</v>
      </c>
      <c r="F66" s="20">
        <f t="shared" si="19"/>
        <v>362.0974025974026</v>
      </c>
      <c r="G66" s="18">
        <f t="shared" si="19"/>
        <v>404.0194805194805</v>
      </c>
      <c r="H66" s="18">
        <f t="shared" si="19"/>
        <v>437.7951807228916</v>
      </c>
      <c r="I66" s="18">
        <f t="shared" si="19"/>
        <v>501.08024691358025</v>
      </c>
      <c r="J66" s="18">
        <f t="shared" si="19"/>
        <v>551.7847222222222</v>
      </c>
      <c r="K66" s="21">
        <f t="shared" si="19"/>
        <v>562.9591836734694</v>
      </c>
      <c r="L66" s="19">
        <f t="shared" si="19"/>
        <v>542.5364238410596</v>
      </c>
      <c r="M66" s="19">
        <f t="shared" si="19"/>
        <v>530.2222222222222</v>
      </c>
      <c r="N66" s="19">
        <f t="shared" si="19"/>
        <v>566.5441176470588</v>
      </c>
      <c r="O66" s="18">
        <f t="shared" si="19"/>
        <v>585.593984962406</v>
      </c>
      <c r="P66" s="18">
        <f t="shared" si="19"/>
        <v>817.7313432835821</v>
      </c>
      <c r="Q66" s="26"/>
    </row>
    <row r="67" spans="1:17" ht="11.25">
      <c r="A67" s="2" t="s">
        <v>60</v>
      </c>
      <c r="C67" s="19">
        <f aca="true" t="shared" si="20" ref="C67:P67">C16/C64</f>
        <v>1384.450819672131</v>
      </c>
      <c r="D67" s="19">
        <f t="shared" si="20"/>
        <v>1320.9833333333333</v>
      </c>
      <c r="E67" s="19">
        <f t="shared" si="20"/>
        <v>783.7021276595744</v>
      </c>
      <c r="F67" s="20">
        <f t="shared" si="20"/>
        <v>405.2987012987013</v>
      </c>
      <c r="G67" s="18">
        <f t="shared" si="20"/>
        <v>462.16883116883116</v>
      </c>
      <c r="H67" s="18">
        <f t="shared" si="20"/>
        <v>472.34939759036143</v>
      </c>
      <c r="I67" s="18">
        <f t="shared" si="20"/>
        <v>543.6666666666666</v>
      </c>
      <c r="J67" s="18">
        <f t="shared" si="20"/>
        <v>571.8611111111111</v>
      </c>
      <c r="K67" s="21">
        <f t="shared" si="20"/>
        <v>589.047619047619</v>
      </c>
      <c r="L67" s="19">
        <f t="shared" si="20"/>
        <v>612.9271523178808</v>
      </c>
      <c r="M67" s="19">
        <f t="shared" si="20"/>
        <v>577.9281045751634</v>
      </c>
      <c r="N67" s="19">
        <f t="shared" si="20"/>
        <v>638.2647058823529</v>
      </c>
      <c r="O67" s="18">
        <f t="shared" si="20"/>
        <v>677.8571428571429</v>
      </c>
      <c r="P67" s="18">
        <f t="shared" si="20"/>
        <v>1072.5223880597016</v>
      </c>
      <c r="Q67" s="26"/>
    </row>
    <row r="68" spans="1:17" ht="11.25">
      <c r="A68" s="3" t="s">
        <v>61</v>
      </c>
      <c r="B68" s="3"/>
      <c r="C68" s="22">
        <f aca="true" t="shared" si="21" ref="C68:P68">(C40/C64)</f>
        <v>316.40983606557376</v>
      </c>
      <c r="D68" s="22">
        <f t="shared" si="21"/>
        <v>181.59166666666667</v>
      </c>
      <c r="E68" s="22">
        <f t="shared" si="21"/>
        <v>108.09219858156028</v>
      </c>
      <c r="F68" s="23">
        <f t="shared" si="21"/>
        <v>39.90909090909091</v>
      </c>
      <c r="G68" s="22">
        <f t="shared" si="21"/>
        <v>253.62987012987014</v>
      </c>
      <c r="H68" s="22">
        <f t="shared" si="21"/>
        <v>239.1024096385542</v>
      </c>
      <c r="I68" s="22">
        <f t="shared" si="21"/>
        <v>163.5679012345679</v>
      </c>
      <c r="J68" s="22">
        <f t="shared" si="21"/>
        <v>103.20833333333333</v>
      </c>
      <c r="K68" s="24">
        <f t="shared" si="21"/>
        <v>291.29931972789115</v>
      </c>
      <c r="L68" s="22">
        <f t="shared" si="21"/>
        <v>225.72185430463577</v>
      </c>
      <c r="M68" s="22">
        <f t="shared" si="21"/>
        <v>162.9738562091503</v>
      </c>
      <c r="N68" s="22">
        <f t="shared" si="21"/>
        <v>53.8014705882353</v>
      </c>
      <c r="O68" s="22">
        <f t="shared" si="21"/>
        <v>211.4360902255639</v>
      </c>
      <c r="P68" s="22">
        <f t="shared" si="21"/>
        <v>544.1343283582089</v>
      </c>
      <c r="Q68" s="26"/>
    </row>
    <row r="69" spans="1:17" ht="11.25">
      <c r="A69" s="12" t="s">
        <v>62</v>
      </c>
      <c r="E69" s="4"/>
      <c r="F69" s="25"/>
      <c r="K69" s="26"/>
      <c r="L69" s="4"/>
      <c r="M69" s="4"/>
      <c r="N69" s="4"/>
      <c r="Q69" s="26"/>
    </row>
    <row r="70" spans="1:17" ht="11.25">
      <c r="A70" s="2" t="s">
        <v>63</v>
      </c>
      <c r="C70" s="31">
        <f aca="true" t="shared" si="22" ref="C70:K70">(C10/G10)-1</f>
        <v>0.6801079845319453</v>
      </c>
      <c r="D70" s="31">
        <f t="shared" si="22"/>
        <v>0.5436322381471104</v>
      </c>
      <c r="E70" s="31">
        <f t="shared" si="22"/>
        <v>0.1509113958006134</v>
      </c>
      <c r="F70" s="32">
        <f t="shared" si="22"/>
        <v>-0.09519058605546105</v>
      </c>
      <c r="G70" s="33">
        <f t="shared" si="22"/>
        <v>-0.0735115842034818</v>
      </c>
      <c r="H70" s="33">
        <f t="shared" si="22"/>
        <v>-0.06653019901778812</v>
      </c>
      <c r="I70" s="33">
        <f t="shared" si="22"/>
        <v>0.06539044818224138</v>
      </c>
      <c r="J70" s="33">
        <f t="shared" si="22"/>
        <v>0.10830943295635742</v>
      </c>
      <c r="K70" s="34">
        <f t="shared" si="22"/>
        <v>0.06362673338989477</v>
      </c>
      <c r="L70" s="31">
        <f>(L10/200042)-1</f>
        <v>0.12579358334749702</v>
      </c>
      <c r="M70" s="31">
        <f>(M10/186182)-1</f>
        <v>0.16522005349604152</v>
      </c>
      <c r="N70" s="31">
        <f>(N10/183276)-1</f>
        <v>0.1053111154761126</v>
      </c>
      <c r="O70" s="33">
        <f>(O10/P10)-1</f>
        <v>0.1219668287226261</v>
      </c>
      <c r="P70" s="33">
        <f>(P10/201674)-1</f>
        <v>-0.07799716373950039</v>
      </c>
      <c r="Q70" s="26"/>
    </row>
    <row r="71" spans="1:17" ht="11.25">
      <c r="A71" s="2" t="s">
        <v>64</v>
      </c>
      <c r="C71" s="31">
        <f aca="true" t="shared" si="23" ref="C71:I73">(C12/G12)-1</f>
        <v>-0.1540204760603674</v>
      </c>
      <c r="D71" s="31">
        <f t="shared" si="23"/>
        <v>-0.18675179569034317</v>
      </c>
      <c r="E71" s="31">
        <f t="shared" si="23"/>
        <v>-0.29150600554357864</v>
      </c>
      <c r="F71" s="32">
        <f t="shared" si="23"/>
        <v>-0.29819902588821623</v>
      </c>
      <c r="G71" s="33">
        <f t="shared" si="23"/>
        <v>-0.2481541900791493</v>
      </c>
      <c r="H71" s="33">
        <f t="shared" si="23"/>
        <v>-0.11289869755746251</v>
      </c>
      <c r="I71" s="33">
        <f t="shared" si="23"/>
        <v>0.0006286672254820491</v>
      </c>
      <c r="J71" s="33">
        <f>J12/N12-1</f>
        <v>0.03123945489941593</v>
      </c>
      <c r="K71" s="34">
        <f>(K12/O12)-1</f>
        <v>0.06254172872477026</v>
      </c>
      <c r="L71" s="31">
        <f>L12/70651-1</f>
        <v>0.1595448047444481</v>
      </c>
      <c r="M71" s="31">
        <f>M12/67309-1</f>
        <v>0.2052474409068623</v>
      </c>
      <c r="N71" s="31">
        <f>N12/62461-1</f>
        <v>0.23356974752245407</v>
      </c>
      <c r="O71" s="33">
        <f>(O12/P12)-1</f>
        <v>0.42155216470760015</v>
      </c>
      <c r="P71" s="33">
        <f>P12/22637-1</f>
        <v>1.4202853735035563</v>
      </c>
      <c r="Q71" s="26"/>
    </row>
    <row r="72" spans="2:17" ht="11.25">
      <c r="B72" s="2" t="s">
        <v>15</v>
      </c>
      <c r="C72" s="31">
        <f t="shared" si="23"/>
        <v>-0.022248187714612788</v>
      </c>
      <c r="D72" s="31">
        <f t="shared" si="23"/>
        <v>-0.14029189420292676</v>
      </c>
      <c r="E72" s="31">
        <f t="shared" si="23"/>
        <v>-0.20507016749660478</v>
      </c>
      <c r="F72" s="32">
        <f t="shared" si="23"/>
        <v>-0.29023708117791147</v>
      </c>
      <c r="G72" s="33">
        <f t="shared" si="23"/>
        <v>-0.28877431609653514</v>
      </c>
      <c r="H72" s="33">
        <f t="shared" si="23"/>
        <v>-0.1277291836181177</v>
      </c>
      <c r="I72" s="33">
        <f t="shared" si="23"/>
        <v>-0.039388516282259256</v>
      </c>
      <c r="J72" s="33">
        <f>(J13/N13)-1</f>
        <v>-0.07268412577337058</v>
      </c>
      <c r="K72" s="34">
        <f>(K13/O13)-1</f>
        <v>0.005045425878261955</v>
      </c>
      <c r="L72" s="31">
        <f>(L13/52962)-1</f>
        <v>0.11385521694800049</v>
      </c>
      <c r="M72" s="31">
        <f>(M13/47614)-1</f>
        <v>0.25570210442306895</v>
      </c>
      <c r="N72" s="31">
        <f>(N13/41312)-1</f>
        <v>0.4280354376452362</v>
      </c>
      <c r="O72" s="33">
        <f>(O13/P13)-1</f>
        <v>0.5702317863069428</v>
      </c>
      <c r="P72" s="33">
        <f>(P13/17199)-1</f>
        <v>1.1723356009070294</v>
      </c>
      <c r="Q72" s="26"/>
    </row>
    <row r="73" spans="2:17" ht="11.25">
      <c r="B73" s="2" t="s">
        <v>16</v>
      </c>
      <c r="C73" s="31">
        <f t="shared" si="23"/>
        <v>-0.42646551299117486</v>
      </c>
      <c r="D73" s="31">
        <f t="shared" si="23"/>
        <v>-0.2994297025969741</v>
      </c>
      <c r="E73" s="31">
        <f t="shared" si="23"/>
        <v>-0.5006107577608356</v>
      </c>
      <c r="F73" s="32">
        <f t="shared" si="23"/>
        <v>-0.31579797979797974</v>
      </c>
      <c r="G73" s="33">
        <f t="shared" si="23"/>
        <v>-0.1474865501008742</v>
      </c>
      <c r="H73" s="33">
        <f t="shared" si="23"/>
        <v>-0.07474597706161967</v>
      </c>
      <c r="I73" s="33">
        <f t="shared" si="23"/>
        <v>0.1127724396531522</v>
      </c>
      <c r="J73" s="33">
        <f>(J14/N14)-1</f>
        <v>0.37081140958183334</v>
      </c>
      <c r="K73" s="34">
        <f>(K14/O14)-1</f>
        <v>0.23807045844824892</v>
      </c>
      <c r="L73" s="31">
        <f>(L14/17670)-1</f>
        <v>0.29773627617430676</v>
      </c>
      <c r="M73" s="31">
        <f>(M14/19695)-1</f>
        <v>0.08326986544808324</v>
      </c>
      <c r="N73" s="31">
        <f>(N14/21149)-1</f>
        <v>-0.14629533311267673</v>
      </c>
      <c r="O73" s="33">
        <f>(O14/P14)-1</f>
        <v>0.1027774589693562</v>
      </c>
      <c r="P73" s="33">
        <f>(P14/5438)-1</f>
        <v>2.204486943729312</v>
      </c>
      <c r="Q73" s="26"/>
    </row>
    <row r="74" spans="1:17" ht="11.25">
      <c r="A74" s="2" t="s">
        <v>65</v>
      </c>
      <c r="C74" s="31">
        <f aca="true" t="shared" si="24" ref="C74:K75">(C16/G16)-1</f>
        <v>1.3730997274285555</v>
      </c>
      <c r="D74" s="31">
        <f t="shared" si="24"/>
        <v>1.0216554010967989</v>
      </c>
      <c r="E74" s="31">
        <f t="shared" si="24"/>
        <v>0.2546494992846924</v>
      </c>
      <c r="F74" s="32">
        <f t="shared" si="24"/>
        <v>-0.24204595132850826</v>
      </c>
      <c r="G74" s="33">
        <f t="shared" si="24"/>
        <v>-0.1780344150594757</v>
      </c>
      <c r="H74" s="33">
        <f t="shared" si="24"/>
        <v>-0.15280058777768168</v>
      </c>
      <c r="I74" s="33">
        <f t="shared" si="24"/>
        <v>-0.003946936882937679</v>
      </c>
      <c r="J74" s="33">
        <f t="shared" si="24"/>
        <v>-0.051334039905995166</v>
      </c>
      <c r="K74" s="34">
        <f t="shared" si="24"/>
        <v>-0.039543009261826856</v>
      </c>
      <c r="L74" s="31">
        <f>L16/84731-1</f>
        <v>0.09230387933578021</v>
      </c>
      <c r="M74" s="31">
        <f>M16/79997-1</f>
        <v>0.10532894983561891</v>
      </c>
      <c r="N74" s="31">
        <f>N16/76743-1</f>
        <v>0.13109990487731782</v>
      </c>
      <c r="O74" s="33">
        <f>(O16/P16)-1</f>
        <v>0.2546097218163348</v>
      </c>
      <c r="P74" s="33">
        <f>P16/104188-1</f>
        <v>-0.3102948516143894</v>
      </c>
      <c r="Q74" s="26"/>
    </row>
    <row r="75" spans="2:17" ht="11.25">
      <c r="B75" s="2" t="s">
        <v>15</v>
      </c>
      <c r="C75" s="31">
        <f t="shared" si="24"/>
        <v>-0.17344723428355668</v>
      </c>
      <c r="D75" s="31">
        <f t="shared" si="24"/>
        <v>0.2825044937088077</v>
      </c>
      <c r="E75" s="31">
        <f t="shared" si="24"/>
        <v>-0.29472547181347575</v>
      </c>
      <c r="F75" s="32">
        <f t="shared" si="24"/>
        <v>-0.15092152270092507</v>
      </c>
      <c r="G75" s="33">
        <f t="shared" si="24"/>
        <v>-0.10740389678778306</v>
      </c>
      <c r="H75" s="33">
        <f t="shared" si="24"/>
        <v>-0.23347668155818124</v>
      </c>
      <c r="I75" s="33">
        <f t="shared" si="24"/>
        <v>0.4139242694945535</v>
      </c>
      <c r="J75" s="33">
        <f t="shared" si="24"/>
        <v>0.4628802824213478</v>
      </c>
      <c r="K75" s="34">
        <f t="shared" si="24"/>
        <v>0.37361842485967256</v>
      </c>
      <c r="L75" s="31">
        <f>(L17/34979)-1</f>
        <v>0.36945024157351547</v>
      </c>
      <c r="M75" s="31">
        <f>(M17/37051)-1</f>
        <v>-0.06339909853985048</v>
      </c>
      <c r="N75" s="31">
        <f>(N17/32757)-1</f>
        <v>-0.11795952010257349</v>
      </c>
      <c r="O75" s="33">
        <f>(O17/P17)-1</f>
        <v>0.037306041597887196</v>
      </c>
      <c r="P75" s="33">
        <f>(P17/11550)-1</f>
        <v>1.8847619047619046</v>
      </c>
      <c r="Q75" s="26"/>
    </row>
    <row r="76" spans="2:17" ht="11.25">
      <c r="B76" s="2" t="s">
        <v>16</v>
      </c>
      <c r="C76" s="31">
        <f aca="true" t="shared" si="25" ref="C76:K76">(C21/G21)-1</f>
        <v>3.6488297798458227</v>
      </c>
      <c r="D76" s="31">
        <f t="shared" si="25"/>
        <v>1.6726230451885256</v>
      </c>
      <c r="E76" s="31">
        <f t="shared" si="25"/>
        <v>0.9456778096800655</v>
      </c>
      <c r="F76" s="32">
        <f t="shared" si="25"/>
        <v>-0.3381402659614281</v>
      </c>
      <c r="G76" s="33">
        <f t="shared" si="25"/>
        <v>-0.263760705611658</v>
      </c>
      <c r="H76" s="33">
        <f t="shared" si="25"/>
        <v>-0.06624860022396417</v>
      </c>
      <c r="I76" s="33">
        <f t="shared" si="25"/>
        <v>-0.27387799929264156</v>
      </c>
      <c r="J76" s="33">
        <f t="shared" si="25"/>
        <v>-0.30788623922916203</v>
      </c>
      <c r="K76" s="34">
        <f t="shared" si="25"/>
        <v>-0.2964042235533251</v>
      </c>
      <c r="L76" s="31">
        <f>(L21/49752)-1</f>
        <v>-0.10254864126065288</v>
      </c>
      <c r="M76" s="31">
        <f>(M21/42946)-1</f>
        <v>0.25089647464257436</v>
      </c>
      <c r="N76" s="31">
        <f>(N21/43987)-1</f>
        <v>0.31654807102098337</v>
      </c>
      <c r="O76" s="33">
        <f>(O21/P21)-1</f>
        <v>0.44247535028541773</v>
      </c>
      <c r="P76" s="33">
        <f>(P21/92637)-1</f>
        <v>-0.5839675291730086</v>
      </c>
      <c r="Q76" s="26"/>
    </row>
    <row r="77" spans="1:17" ht="11.25">
      <c r="A77" s="2" t="s">
        <v>66</v>
      </c>
      <c r="C77" s="31">
        <f aca="true" t="shared" si="26" ref="C77:K77">(C25/G25)-1</f>
        <v>0.3286051273267989</v>
      </c>
      <c r="D77" s="31">
        <f t="shared" si="26"/>
        <v>0.24345062719077615</v>
      </c>
      <c r="E77" s="31">
        <f t="shared" si="26"/>
        <v>0.01879272290912204</v>
      </c>
      <c r="F77" s="32">
        <f t="shared" si="26"/>
        <v>-0.0402001279888301</v>
      </c>
      <c r="G77" s="33">
        <f t="shared" si="26"/>
        <v>0.016942577330198105</v>
      </c>
      <c r="H77" s="33">
        <f t="shared" si="26"/>
        <v>-0.036659564484989304</v>
      </c>
      <c r="I77" s="33">
        <f t="shared" si="26"/>
        <v>0.1353580407104047</v>
      </c>
      <c r="J77" s="33">
        <f t="shared" si="26"/>
        <v>0.23416591127345843</v>
      </c>
      <c r="K77" s="34">
        <f t="shared" si="26"/>
        <v>0.13334469887301692</v>
      </c>
      <c r="L77" s="31">
        <f>(L25/108201)-1</f>
        <v>0.20153233334257536</v>
      </c>
      <c r="M77" s="31">
        <f>(M25/102365)-1</f>
        <v>0.20461095100864557</v>
      </c>
      <c r="N77" s="31">
        <f>(N25/102613)-1</f>
        <v>0.08583707717345757</v>
      </c>
      <c r="O77" s="33">
        <f>(O25/P25)-1</f>
        <v>0.0056305493394932515</v>
      </c>
      <c r="P77" s="33">
        <f>(P25/93596)-1</f>
        <v>0.1840676952006497</v>
      </c>
      <c r="Q77" s="26"/>
    </row>
    <row r="78" spans="1:17" ht="11.25">
      <c r="A78" s="3" t="s">
        <v>67</v>
      </c>
      <c r="B78" s="3"/>
      <c r="C78" s="35">
        <f aca="true" t="shared" si="27" ref="C78:K78">(C40/G40)-1</f>
        <v>-0.011700248342251474</v>
      </c>
      <c r="D78" s="35">
        <f t="shared" si="27"/>
        <v>-0.45098385024312815</v>
      </c>
      <c r="E78" s="35">
        <f t="shared" si="27"/>
        <v>-0.4248245150577402</v>
      </c>
      <c r="F78" s="36">
        <f t="shared" si="27"/>
        <v>-0.5864621181536805</v>
      </c>
      <c r="G78" s="35">
        <f t="shared" si="27"/>
        <v>-0.08785409028280522</v>
      </c>
      <c r="H78" s="35">
        <f t="shared" si="27"/>
        <v>0.16450533974885584</v>
      </c>
      <c r="I78" s="35">
        <f t="shared" si="27"/>
        <v>0.06268297573691606</v>
      </c>
      <c r="J78" s="35">
        <f t="shared" si="27"/>
        <v>1.031160311603116</v>
      </c>
      <c r="K78" s="37">
        <f t="shared" si="27"/>
        <v>0.5227410120550477</v>
      </c>
      <c r="L78" s="35">
        <f>(L40/20758)-1</f>
        <v>0.6419693612101358</v>
      </c>
      <c r="M78" s="35">
        <f>(M40/11751)-1</f>
        <v>1.12194706833461</v>
      </c>
      <c r="N78" s="35">
        <f>(N40/6907)-1</f>
        <v>0.059360069494715395</v>
      </c>
      <c r="O78" s="35">
        <f>(O40/P40)-1</f>
        <v>-0.22865293359299999</v>
      </c>
      <c r="P78" s="35">
        <f>(P40/4087)-1</f>
        <v>7.920234891118179</v>
      </c>
      <c r="Q78" s="26"/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2017-06-16T16:12:07Z</dcterms:created>
  <dcterms:modified xsi:type="dcterms:W3CDTF">2017-06-16T16:12:10Z</dcterms:modified>
  <cp:category/>
  <cp:version/>
  <cp:contentType/>
  <cp:contentStatus/>
</cp:coreProperties>
</file>