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Uno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<sst xmlns="http://schemas.openxmlformats.org/spreadsheetml/2006/main" count="89" uniqueCount="68">
  <si>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18-41</t>
  </si>
  <si>
    <t>BANCO UNO, S.A.</t>
  </si>
  <si>
    <t xml:space="preserve">ESTADISTICA FINANCIERA. TRIMESTRES  2000, 2001 Y 2002 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</si>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</sst>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40">
    <font>
      <sz val="10"/>
      <name val="Arial"/>
      <family val="0"/>
    </font>
    <font>
      <b/>
      <sz val="7"/>
      <name val="Arial Narrow"/>
      <family val="2"/>
    </font>
    <font>
      <sz val="7"/>
      <name val="Arial"/>
      <family val="0"/>
    </font>
    <font>
      <sz val="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right"/>
    </xf>
    <xf numFmtId="195" fontId="1" fillId="0" borderId="0" xfId="46" applyNumberFormat="1" applyFont="1" applyAlignment="1">
      <alignment/>
    </xf>
    <xf numFmtId="0" fontId="3" fillId="0" borderId="0" xfId="0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0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0" xfId="5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95" fontId="5" fillId="0" borderId="0" xfId="46" applyNumberFormat="1" applyFont="1" applyAlignment="1">
      <alignment/>
    </xf>
    <xf numFmtId="195" fontId="5" fillId="0" borderId="16" xfId="46" applyNumberFormat="1" applyFont="1" applyBorder="1" applyAlignment="1">
      <alignment/>
    </xf>
    <xf numFmtId="195" fontId="5" fillId="0" borderId="0" xfId="46" applyNumberFormat="1" applyFont="1" applyBorder="1" applyAlignment="1">
      <alignment/>
    </xf>
    <xf numFmtId="0" fontId="4" fillId="0" borderId="0" xfId="0" applyFont="1" applyAlignment="1">
      <alignment/>
    </xf>
    <xf numFmtId="195" fontId="4" fillId="0" borderId="0" xfId="46" applyNumberFormat="1" applyFont="1" applyAlignment="1">
      <alignment/>
    </xf>
    <xf numFmtId="195" fontId="4" fillId="0" borderId="0" xfId="46" applyNumberFormat="1" applyFont="1" applyBorder="1" applyAlignment="1">
      <alignment/>
    </xf>
    <xf numFmtId="195" fontId="4" fillId="0" borderId="15" xfId="46" applyNumberFormat="1" applyFont="1" applyBorder="1" applyAlignment="1">
      <alignment/>
    </xf>
    <xf numFmtId="195" fontId="4" fillId="0" borderId="16" xfId="46" applyNumberFormat="1" applyFont="1" applyBorder="1" applyAlignment="1">
      <alignment/>
    </xf>
    <xf numFmtId="195" fontId="4" fillId="0" borderId="15" xfId="46" applyNumberFormat="1" applyFont="1" applyFill="1" applyBorder="1" applyAlignment="1">
      <alignment/>
    </xf>
    <xf numFmtId="195" fontId="4" fillId="0" borderId="10" xfId="46" applyNumberFormat="1" applyFont="1" applyBorder="1" applyAlignment="1">
      <alignment/>
    </xf>
    <xf numFmtId="195" fontId="4" fillId="0" borderId="13" xfId="46" applyNumberFormat="1" applyFont="1" applyBorder="1" applyAlignment="1">
      <alignment/>
    </xf>
    <xf numFmtId="195" fontId="4" fillId="0" borderId="14" xfId="46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95" fontId="4" fillId="0" borderId="15" xfId="0" applyNumberFormat="1" applyFont="1" applyBorder="1" applyAlignment="1">
      <alignment/>
    </xf>
    <xf numFmtId="195" fontId="4" fillId="0" borderId="0" xfId="0" applyNumberFormat="1" applyFont="1" applyAlignment="1">
      <alignment/>
    </xf>
    <xf numFmtId="195" fontId="4" fillId="0" borderId="13" xfId="0" applyNumberFormat="1" applyFont="1" applyBorder="1" applyAlignment="1">
      <alignment/>
    </xf>
    <xf numFmtId="195" fontId="4" fillId="0" borderId="10" xfId="0" applyNumberFormat="1" applyFont="1" applyBorder="1" applyAlignment="1">
      <alignment/>
    </xf>
    <xf numFmtId="10" fontId="4" fillId="0" borderId="0" xfId="52" applyNumberFormat="1" applyFont="1" applyBorder="1" applyAlignment="1">
      <alignment/>
    </xf>
    <xf numFmtId="10" fontId="4" fillId="0" borderId="15" xfId="52" applyNumberFormat="1" applyFont="1" applyBorder="1" applyAlignment="1">
      <alignment/>
    </xf>
    <xf numFmtId="10" fontId="4" fillId="0" borderId="0" xfId="52" applyNumberFormat="1" applyFont="1" applyAlignment="1">
      <alignment/>
    </xf>
    <xf numFmtId="10" fontId="4" fillId="0" borderId="16" xfId="52" applyNumberFormat="1" applyFont="1" applyBorder="1" applyAlignment="1">
      <alignment/>
    </xf>
    <xf numFmtId="10" fontId="4" fillId="0" borderId="10" xfId="52" applyNumberFormat="1" applyFont="1" applyBorder="1" applyAlignment="1">
      <alignment/>
    </xf>
    <xf numFmtId="10" fontId="4" fillId="0" borderId="13" xfId="52" applyNumberFormat="1" applyFont="1" applyBorder="1" applyAlignment="1">
      <alignment/>
    </xf>
    <xf numFmtId="10" fontId="4" fillId="0" borderId="14" xfId="52" applyNumberFormat="1" applyFont="1" applyBorder="1" applyAlignment="1">
      <alignment/>
    </xf>
    <xf numFmtId="197" fontId="4" fillId="0" borderId="0" xfId="52" applyNumberFormat="1" applyFont="1" applyAlignment="1">
      <alignment/>
    </xf>
    <xf numFmtId="197" fontId="4" fillId="0" borderId="16" xfId="52" applyNumberFormat="1" applyFont="1" applyBorder="1" applyAlignment="1">
      <alignment/>
    </xf>
    <xf numFmtId="197" fontId="4" fillId="0" borderId="0" xfId="52" applyNumberFormat="1" applyFont="1" applyBorder="1" applyAlignment="1">
      <alignment/>
    </xf>
    <xf numFmtId="197" fontId="4" fillId="0" borderId="15" xfId="52" applyNumberFormat="1" applyFont="1" applyBorder="1" applyAlignment="1">
      <alignment/>
    </xf>
    <xf numFmtId="197" fontId="4" fillId="0" borderId="10" xfId="52" applyNumberFormat="1" applyFont="1" applyBorder="1" applyAlignment="1">
      <alignment/>
    </xf>
    <xf numFmtId="197" fontId="4" fillId="0" borderId="13" xfId="52" applyNumberFormat="1" applyFont="1" applyBorder="1" applyAlignment="1">
      <alignment/>
    </xf>
    <xf numFmtId="197" fontId="4" fillId="0" borderId="14" xfId="52" applyNumberFormat="1" applyFont="1" applyBorder="1" applyAlignment="1">
      <alignment/>
    </xf>
    <xf numFmtId="10" fontId="4" fillId="0" borderId="0" xfId="52" applyNumberFormat="1" applyFont="1" applyFill="1" applyBorder="1" applyAlignment="1">
      <alignment/>
    </xf>
    <xf numFmtId="10" fontId="4" fillId="0" borderId="16" xfId="52" applyNumberFormat="1" applyFont="1" applyFill="1" applyBorder="1" applyAlignment="1">
      <alignment/>
    </xf>
    <xf numFmtId="10" fontId="4" fillId="0" borderId="10" xfId="52" applyNumberFormat="1" applyFont="1" applyFill="1" applyBorder="1" applyAlignment="1">
      <alignment/>
    </xf>
    <xf numFmtId="10" fontId="4" fillId="0" borderId="14" xfId="5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11.421875" defaultRowHeight="12.75"/>
  <cols>
    <col min="1" max="1" width="3.7109375" style="25" customWidth="1"/>
    <col min="2" max="2" width="28.00390625" style="25" customWidth="1"/>
    <col min="3" max="3" width="8.00390625" style="25" customWidth="1"/>
    <col min="4" max="4" width="8.421875" style="25" customWidth="1"/>
    <col min="5" max="6" width="7.7109375" style="25" customWidth="1"/>
    <col min="7" max="7" width="7.8515625" style="25" customWidth="1"/>
    <col min="8" max="8" width="7.7109375" style="25" bestFit="1" customWidth="1"/>
    <col min="9" max="9" width="8.00390625" style="25" customWidth="1"/>
    <col min="10" max="10" width="7.00390625" style="25" customWidth="1"/>
    <col min="11" max="11" width="7.00390625" style="25" bestFit="1" customWidth="1"/>
    <col min="12" max="12" width="7.7109375" style="25" bestFit="1" customWidth="1"/>
    <col min="13" max="14" width="7.140625" style="25" customWidth="1"/>
    <col min="15" max="16" width="5.7109375" style="1" hidden="1" customWidth="1"/>
    <col min="17" max="16384" width="11.421875" style="1" customWidth="1"/>
  </cols>
  <sheetData>
    <row r="1" spans="2:16" ht="11.25">
      <c r="B1" s="59"/>
      <c r="C1" s="59"/>
      <c r="D1" s="59"/>
      <c r="E1" s="59"/>
      <c r="F1" s="59"/>
      <c r="G1" s="59"/>
      <c r="H1" s="59" t="s">
        <v>0</v>
      </c>
      <c r="I1" s="59"/>
      <c r="J1" s="59"/>
      <c r="K1" s="59"/>
      <c r="L1" s="59"/>
      <c r="M1" s="59"/>
      <c r="N1" s="59"/>
      <c r="O1" s="59"/>
      <c r="P1" s="59"/>
    </row>
    <row r="2" spans="2:16" ht="11.25">
      <c r="B2" s="59"/>
      <c r="C2" s="59"/>
      <c r="D2" s="59"/>
      <c r="E2" s="59"/>
      <c r="F2" s="59"/>
      <c r="G2" s="59"/>
      <c r="H2" s="59" t="s">
        <v>1</v>
      </c>
      <c r="I2" s="59"/>
      <c r="J2" s="59"/>
      <c r="K2" s="59"/>
      <c r="L2" s="59"/>
      <c r="M2" s="59"/>
      <c r="N2" s="59"/>
      <c r="O2" s="59"/>
      <c r="P2" s="59"/>
    </row>
    <row r="3" spans="2:16" ht="11.25">
      <c r="B3" s="59"/>
      <c r="C3" s="59"/>
      <c r="D3" s="59"/>
      <c r="E3" s="59"/>
      <c r="F3" s="59"/>
      <c r="G3" s="59"/>
      <c r="H3" s="59" t="s">
        <v>2</v>
      </c>
      <c r="I3" s="59"/>
      <c r="J3" s="59"/>
      <c r="K3" s="59"/>
      <c r="L3" s="59"/>
      <c r="M3" s="59"/>
      <c r="N3" s="59"/>
      <c r="O3" s="59"/>
      <c r="P3" s="59"/>
    </row>
    <row r="4" spans="1:16" ht="11.25">
      <c r="A4" s="1"/>
      <c r="B4" s="58"/>
      <c r="C4" s="58"/>
      <c r="D4" s="58"/>
      <c r="E4" s="58"/>
      <c r="F4" s="58"/>
      <c r="G4" s="58"/>
      <c r="H4" s="58" t="s">
        <v>3</v>
      </c>
      <c r="I4" s="58"/>
      <c r="J4" s="58"/>
      <c r="K4" s="58"/>
      <c r="L4" s="58"/>
      <c r="M4" s="58"/>
      <c r="N4" s="58"/>
      <c r="O4" s="58"/>
      <c r="P4" s="58"/>
    </row>
    <row r="5" spans="1:16" ht="11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11.2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1"/>
      <c r="P6" s="11"/>
    </row>
    <row r="7" spans="1:16" ht="11.25">
      <c r="A7" s="13"/>
      <c r="B7" s="13"/>
      <c r="C7" s="61">
        <v>2002</v>
      </c>
      <c r="D7" s="61"/>
      <c r="E7" s="61"/>
      <c r="F7" s="63"/>
      <c r="G7" s="61">
        <v>2001</v>
      </c>
      <c r="H7" s="61"/>
      <c r="I7" s="61"/>
      <c r="J7" s="61"/>
      <c r="K7" s="60">
        <v>2000</v>
      </c>
      <c r="L7" s="61"/>
      <c r="M7" s="61"/>
      <c r="N7" s="61"/>
      <c r="O7" s="62" t="s">
        <v>4</v>
      </c>
      <c r="P7" s="62"/>
    </row>
    <row r="8" spans="1:16" ht="11.25">
      <c r="A8" s="14"/>
      <c r="B8" s="14"/>
      <c r="C8" s="15" t="s">
        <v>5</v>
      </c>
      <c r="D8" s="14" t="s">
        <v>6</v>
      </c>
      <c r="E8" s="16" t="s">
        <v>7</v>
      </c>
      <c r="F8" s="17" t="s">
        <v>8</v>
      </c>
      <c r="G8" s="15" t="s">
        <v>5</v>
      </c>
      <c r="H8" s="14" t="s">
        <v>6</v>
      </c>
      <c r="I8" s="14" t="s">
        <v>7</v>
      </c>
      <c r="J8" s="14" t="s">
        <v>8</v>
      </c>
      <c r="K8" s="18" t="s">
        <v>5</v>
      </c>
      <c r="L8" s="14" t="s">
        <v>6</v>
      </c>
      <c r="M8" s="14" t="s">
        <v>7</v>
      </c>
      <c r="N8" s="14" t="s">
        <v>8</v>
      </c>
      <c r="O8" s="2" t="s">
        <v>9</v>
      </c>
      <c r="P8" s="2" t="s">
        <v>10</v>
      </c>
    </row>
    <row r="9" spans="1:16" ht="11.25">
      <c r="A9" s="19" t="s">
        <v>11</v>
      </c>
      <c r="B9" s="19"/>
      <c r="C9" s="19"/>
      <c r="D9" s="19"/>
      <c r="E9" s="20"/>
      <c r="F9" s="21"/>
      <c r="G9" s="19"/>
      <c r="H9" s="19"/>
      <c r="I9" s="19"/>
      <c r="J9" s="22"/>
      <c r="K9" s="23"/>
      <c r="L9" s="24"/>
      <c r="M9" s="24"/>
      <c r="N9" s="24"/>
      <c r="O9" s="3"/>
      <c r="P9" s="3"/>
    </row>
    <row r="10" spans="1:16" ht="11.25">
      <c r="A10" s="25" t="s">
        <v>12</v>
      </c>
      <c r="C10" s="26">
        <v>284761</v>
      </c>
      <c r="D10" s="26">
        <v>282577</v>
      </c>
      <c r="E10" s="27">
        <v>257764</v>
      </c>
      <c r="F10" s="28">
        <v>256748</v>
      </c>
      <c r="G10" s="26">
        <v>218879</v>
      </c>
      <c r="H10" s="26">
        <v>246662</v>
      </c>
      <c r="I10" s="26">
        <v>313178</v>
      </c>
      <c r="J10" s="26">
        <v>70326</v>
      </c>
      <c r="K10" s="29">
        <v>67756</v>
      </c>
      <c r="L10" s="27">
        <v>50663</v>
      </c>
      <c r="M10" s="27">
        <v>46045</v>
      </c>
      <c r="N10" s="27">
        <v>38322</v>
      </c>
      <c r="O10" s="5">
        <v>40634</v>
      </c>
      <c r="P10" s="5">
        <v>36863</v>
      </c>
    </row>
    <row r="11" spans="1:16" ht="11.25">
      <c r="A11" s="25" t="s">
        <v>13</v>
      </c>
      <c r="C11" s="26">
        <v>78860</v>
      </c>
      <c r="D11" s="26">
        <v>78827</v>
      </c>
      <c r="E11" s="27">
        <v>49303</v>
      </c>
      <c r="F11" s="28">
        <v>61049</v>
      </c>
      <c r="G11" s="26">
        <v>44809</v>
      </c>
      <c r="H11" s="26">
        <v>41278</v>
      </c>
      <c r="I11" s="26">
        <v>58610</v>
      </c>
      <c r="J11" s="26">
        <v>13513</v>
      </c>
      <c r="K11" s="29">
        <v>18924</v>
      </c>
      <c r="L11" s="27">
        <v>12556</v>
      </c>
      <c r="M11" s="27">
        <v>7886</v>
      </c>
      <c r="N11" s="27">
        <v>7987</v>
      </c>
      <c r="O11" s="5">
        <v>10713</v>
      </c>
      <c r="P11" s="5">
        <v>12801</v>
      </c>
    </row>
    <row r="12" spans="1:16" ht="11.25">
      <c r="A12" s="25" t="s">
        <v>14</v>
      </c>
      <c r="C12" s="27">
        <f aca="true" t="shared" si="0" ref="C12:P12">C13+C14</f>
        <v>166346</v>
      </c>
      <c r="D12" s="27">
        <f t="shared" si="0"/>
        <v>160569</v>
      </c>
      <c r="E12" s="27">
        <f t="shared" si="0"/>
        <v>191389</v>
      </c>
      <c r="F12" s="28">
        <f t="shared" si="0"/>
        <v>166473</v>
      </c>
      <c r="G12" s="26">
        <f t="shared" si="0"/>
        <v>161064</v>
      </c>
      <c r="H12" s="26">
        <f t="shared" si="0"/>
        <v>193951</v>
      </c>
      <c r="I12" s="26">
        <f t="shared" si="0"/>
        <v>242490</v>
      </c>
      <c r="J12" s="26">
        <f t="shared" si="0"/>
        <v>49754</v>
      </c>
      <c r="K12" s="29">
        <f t="shared" si="0"/>
        <v>44403</v>
      </c>
      <c r="L12" s="27">
        <f t="shared" si="0"/>
        <v>35254</v>
      </c>
      <c r="M12" s="27">
        <f t="shared" si="0"/>
        <v>36050</v>
      </c>
      <c r="N12" s="27">
        <f t="shared" si="0"/>
        <v>28532</v>
      </c>
      <c r="O12" s="5">
        <f t="shared" si="0"/>
        <v>28144</v>
      </c>
      <c r="P12" s="5">
        <f t="shared" si="0"/>
        <v>22347</v>
      </c>
    </row>
    <row r="13" spans="2:16" ht="11.25">
      <c r="B13" s="25" t="s">
        <v>15</v>
      </c>
      <c r="C13" s="26">
        <v>55290</v>
      </c>
      <c r="D13" s="26">
        <v>50538</v>
      </c>
      <c r="E13" s="27">
        <v>47150</v>
      </c>
      <c r="F13" s="28">
        <v>44415</v>
      </c>
      <c r="G13" s="26">
        <v>44814</v>
      </c>
      <c r="H13" s="26">
        <v>45717</v>
      </c>
      <c r="I13" s="26">
        <v>39814</v>
      </c>
      <c r="J13" s="26">
        <v>38289</v>
      </c>
      <c r="K13" s="29">
        <v>32892</v>
      </c>
      <c r="L13" s="27">
        <v>30611</v>
      </c>
      <c r="M13" s="27">
        <v>31407</v>
      </c>
      <c r="N13" s="27">
        <v>23870</v>
      </c>
      <c r="O13" s="5">
        <v>23479</v>
      </c>
      <c r="P13" s="5">
        <v>17691</v>
      </c>
    </row>
    <row r="14" spans="2:16" ht="11.25">
      <c r="B14" s="25" t="s">
        <v>16</v>
      </c>
      <c r="C14" s="26">
        <v>111056</v>
      </c>
      <c r="D14" s="26">
        <v>110031</v>
      </c>
      <c r="E14" s="27">
        <v>144239</v>
      </c>
      <c r="F14" s="28">
        <v>122058</v>
      </c>
      <c r="G14" s="26">
        <v>116250</v>
      </c>
      <c r="H14" s="26">
        <v>148234</v>
      </c>
      <c r="I14" s="26">
        <v>202676</v>
      </c>
      <c r="J14" s="26">
        <v>11465</v>
      </c>
      <c r="K14" s="29">
        <v>11511</v>
      </c>
      <c r="L14" s="27">
        <v>4643</v>
      </c>
      <c r="M14" s="27">
        <v>4643</v>
      </c>
      <c r="N14" s="27">
        <v>4662</v>
      </c>
      <c r="O14" s="5">
        <v>4665</v>
      </c>
      <c r="P14" s="5">
        <v>4656</v>
      </c>
    </row>
    <row r="15" spans="1:16" ht="11.25">
      <c r="A15" s="25" t="s">
        <v>17</v>
      </c>
      <c r="C15" s="26">
        <v>26</v>
      </c>
      <c r="D15" s="26">
        <v>59</v>
      </c>
      <c r="E15" s="27">
        <v>59</v>
      </c>
      <c r="F15" s="28">
        <v>59</v>
      </c>
      <c r="G15" s="26">
        <v>59</v>
      </c>
      <c r="H15" s="26">
        <v>806</v>
      </c>
      <c r="I15" s="26">
        <v>827</v>
      </c>
      <c r="J15" s="26">
        <v>0</v>
      </c>
      <c r="K15" s="29">
        <v>0</v>
      </c>
      <c r="L15" s="27">
        <v>0</v>
      </c>
      <c r="M15" s="27">
        <v>0</v>
      </c>
      <c r="N15" s="27">
        <v>0</v>
      </c>
      <c r="O15" s="5">
        <v>0</v>
      </c>
      <c r="P15" s="5">
        <v>0</v>
      </c>
    </row>
    <row r="16" spans="1:16" ht="11.25">
      <c r="A16" s="25" t="s">
        <v>18</v>
      </c>
      <c r="C16" s="27">
        <f aca="true" t="shared" si="1" ref="C16:P16">C17+C21</f>
        <v>228393</v>
      </c>
      <c r="D16" s="27">
        <f t="shared" si="1"/>
        <v>217810</v>
      </c>
      <c r="E16" s="27">
        <f t="shared" si="1"/>
        <v>196836</v>
      </c>
      <c r="F16" s="28">
        <f t="shared" si="1"/>
        <v>202781</v>
      </c>
      <c r="G16" s="26">
        <f t="shared" si="1"/>
        <v>165387</v>
      </c>
      <c r="H16" s="26">
        <f t="shared" si="1"/>
        <v>199225</v>
      </c>
      <c r="I16" s="26">
        <f t="shared" si="1"/>
        <v>259521</v>
      </c>
      <c r="J16" s="26">
        <f t="shared" si="1"/>
        <v>53334</v>
      </c>
      <c r="K16" s="29">
        <f t="shared" si="1"/>
        <v>53516</v>
      </c>
      <c r="L16" s="27">
        <f t="shared" si="1"/>
        <v>37162</v>
      </c>
      <c r="M16" s="27">
        <f t="shared" si="1"/>
        <v>32769</v>
      </c>
      <c r="N16" s="27">
        <f t="shared" si="1"/>
        <v>26674</v>
      </c>
      <c r="O16" s="5">
        <f t="shared" si="1"/>
        <v>29199</v>
      </c>
      <c r="P16" s="5">
        <f t="shared" si="1"/>
        <v>29688</v>
      </c>
    </row>
    <row r="17" spans="2:16" ht="11.25">
      <c r="B17" s="25" t="s">
        <v>15</v>
      </c>
      <c r="C17" s="27">
        <f aca="true" t="shared" si="2" ref="C17:P17">SUM(C18:C20)</f>
        <v>89860</v>
      </c>
      <c r="D17" s="27">
        <f t="shared" si="2"/>
        <v>84245</v>
      </c>
      <c r="E17" s="27">
        <f t="shared" si="2"/>
        <v>73999</v>
      </c>
      <c r="F17" s="28">
        <f t="shared" si="2"/>
        <v>69461</v>
      </c>
      <c r="G17" s="26">
        <f t="shared" si="2"/>
        <v>48926</v>
      </c>
      <c r="H17" s="26">
        <f t="shared" si="2"/>
        <v>50163</v>
      </c>
      <c r="I17" s="26">
        <f t="shared" si="2"/>
        <v>36375</v>
      </c>
      <c r="J17" s="26">
        <f t="shared" si="2"/>
        <v>30364</v>
      </c>
      <c r="K17" s="29">
        <f t="shared" si="2"/>
        <v>30678</v>
      </c>
      <c r="L17" s="27">
        <f t="shared" si="2"/>
        <v>25631</v>
      </c>
      <c r="M17" s="27">
        <f t="shared" si="2"/>
        <v>21319</v>
      </c>
      <c r="N17" s="27">
        <f t="shared" si="2"/>
        <v>17734</v>
      </c>
      <c r="O17" s="5">
        <f t="shared" si="2"/>
        <v>18122</v>
      </c>
      <c r="P17" s="5">
        <f t="shared" si="2"/>
        <v>12444</v>
      </c>
    </row>
    <row r="18" spans="2:16" ht="11.25">
      <c r="B18" s="25" t="s">
        <v>19</v>
      </c>
      <c r="C18" s="26">
        <v>0</v>
      </c>
      <c r="D18" s="27">
        <v>0</v>
      </c>
      <c r="E18" s="27">
        <v>0</v>
      </c>
      <c r="F18" s="28">
        <v>0</v>
      </c>
      <c r="G18" s="26">
        <v>0</v>
      </c>
      <c r="H18" s="26">
        <v>0</v>
      </c>
      <c r="I18" s="26">
        <v>0</v>
      </c>
      <c r="J18" s="26">
        <v>0</v>
      </c>
      <c r="K18" s="29">
        <v>0</v>
      </c>
      <c r="L18" s="27">
        <v>0</v>
      </c>
      <c r="M18" s="27">
        <v>0</v>
      </c>
      <c r="N18" s="27">
        <v>0</v>
      </c>
      <c r="O18" s="5">
        <v>0</v>
      </c>
      <c r="P18" s="5">
        <v>0</v>
      </c>
    </row>
    <row r="19" spans="2:16" ht="11.25">
      <c r="B19" s="25" t="s">
        <v>20</v>
      </c>
      <c r="C19" s="26">
        <v>89360</v>
      </c>
      <c r="D19" s="26">
        <v>84245</v>
      </c>
      <c r="E19" s="27">
        <v>73999</v>
      </c>
      <c r="F19" s="28">
        <v>69461</v>
      </c>
      <c r="G19" s="26">
        <f>3517+45409</f>
        <v>48926</v>
      </c>
      <c r="H19" s="26">
        <v>50163</v>
      </c>
      <c r="I19" s="26">
        <v>36375</v>
      </c>
      <c r="J19" s="26">
        <v>30364</v>
      </c>
      <c r="K19" s="29">
        <v>30678</v>
      </c>
      <c r="L19" s="27">
        <v>25631</v>
      </c>
      <c r="M19" s="27">
        <v>21319</v>
      </c>
      <c r="N19" s="27">
        <v>17734</v>
      </c>
      <c r="O19" s="5">
        <v>18122</v>
      </c>
      <c r="P19" s="5">
        <v>12444</v>
      </c>
    </row>
    <row r="20" spans="2:16" ht="11.25">
      <c r="B20" s="25" t="s">
        <v>21</v>
      </c>
      <c r="C20" s="26">
        <v>500</v>
      </c>
      <c r="D20" s="27">
        <v>0</v>
      </c>
      <c r="E20" s="27">
        <v>0</v>
      </c>
      <c r="F20" s="28">
        <v>0</v>
      </c>
      <c r="G20" s="26">
        <v>0</v>
      </c>
      <c r="H20" s="26">
        <v>0</v>
      </c>
      <c r="I20" s="26">
        <v>0</v>
      </c>
      <c r="J20" s="26">
        <v>0</v>
      </c>
      <c r="K20" s="29">
        <v>0</v>
      </c>
      <c r="L20" s="27">
        <v>0</v>
      </c>
      <c r="M20" s="27">
        <v>0</v>
      </c>
      <c r="N20" s="27">
        <v>0</v>
      </c>
      <c r="O20" s="5">
        <v>0</v>
      </c>
      <c r="P20" s="5">
        <v>0</v>
      </c>
    </row>
    <row r="21" spans="2:16" ht="11.25">
      <c r="B21" s="25" t="s">
        <v>16</v>
      </c>
      <c r="C21" s="27">
        <f>SUM(C22:C24)</f>
        <v>138533</v>
      </c>
      <c r="D21" s="27">
        <f>SUM(D22:D24)</f>
        <v>133565</v>
      </c>
      <c r="E21" s="27">
        <f>SUM(E22:E24)</f>
        <v>122837</v>
      </c>
      <c r="F21" s="28">
        <f>SUM(F22:F24)</f>
        <v>133320</v>
      </c>
      <c r="G21" s="26">
        <f aca="true" t="shared" si="3" ref="G21:P21">SUM(G23:G24)</f>
        <v>116461</v>
      </c>
      <c r="H21" s="26">
        <f t="shared" si="3"/>
        <v>149062</v>
      </c>
      <c r="I21" s="26">
        <f t="shared" si="3"/>
        <v>223146</v>
      </c>
      <c r="J21" s="26">
        <f t="shared" si="3"/>
        <v>22970</v>
      </c>
      <c r="K21" s="29">
        <f t="shared" si="3"/>
        <v>22838</v>
      </c>
      <c r="L21" s="27">
        <f t="shared" si="3"/>
        <v>11531</v>
      </c>
      <c r="M21" s="27">
        <f t="shared" si="3"/>
        <v>11450</v>
      </c>
      <c r="N21" s="27">
        <f t="shared" si="3"/>
        <v>8940</v>
      </c>
      <c r="O21" s="5">
        <f t="shared" si="3"/>
        <v>11077</v>
      </c>
      <c r="P21" s="5">
        <f t="shared" si="3"/>
        <v>17244</v>
      </c>
    </row>
    <row r="22" spans="2:16" ht="11.25">
      <c r="B22" s="25" t="s">
        <v>19</v>
      </c>
      <c r="C22" s="27">
        <v>0</v>
      </c>
      <c r="D22" s="27">
        <v>0</v>
      </c>
      <c r="E22" s="27">
        <v>0</v>
      </c>
      <c r="F22" s="28">
        <v>0</v>
      </c>
      <c r="G22" s="26">
        <v>0</v>
      </c>
      <c r="H22" s="26">
        <v>0</v>
      </c>
      <c r="I22" s="26">
        <v>0</v>
      </c>
      <c r="J22" s="26">
        <v>0</v>
      </c>
      <c r="K22" s="29">
        <v>0</v>
      </c>
      <c r="L22" s="27">
        <v>0</v>
      </c>
      <c r="M22" s="27">
        <v>0</v>
      </c>
      <c r="N22" s="27">
        <v>0</v>
      </c>
      <c r="O22" s="5"/>
      <c r="P22" s="5"/>
    </row>
    <row r="23" spans="2:16" ht="11.25">
      <c r="B23" s="25" t="s">
        <v>20</v>
      </c>
      <c r="C23" s="26">
        <v>137479</v>
      </c>
      <c r="D23" s="26">
        <v>133369</v>
      </c>
      <c r="E23" s="27">
        <v>122397</v>
      </c>
      <c r="F23" s="28">
        <v>132836</v>
      </c>
      <c r="G23" s="26">
        <f>44260+59337</f>
        <v>103597</v>
      </c>
      <c r="H23" s="26">
        <v>123064</v>
      </c>
      <c r="I23" s="26">
        <v>200847</v>
      </c>
      <c r="J23" s="26">
        <v>11418</v>
      </c>
      <c r="K23" s="29">
        <v>10465</v>
      </c>
      <c r="L23" s="27">
        <v>6616</v>
      </c>
      <c r="M23" s="27">
        <v>5932</v>
      </c>
      <c r="N23" s="27">
        <v>4225</v>
      </c>
      <c r="O23" s="5">
        <v>4861</v>
      </c>
      <c r="P23" s="5">
        <v>12073</v>
      </c>
    </row>
    <row r="24" spans="2:16" ht="11.25">
      <c r="B24" s="25" t="s">
        <v>21</v>
      </c>
      <c r="C24" s="26">
        <v>1054</v>
      </c>
      <c r="D24" s="27">
        <v>196</v>
      </c>
      <c r="E24" s="27">
        <v>440</v>
      </c>
      <c r="F24" s="30">
        <v>484</v>
      </c>
      <c r="G24" s="26">
        <v>12864</v>
      </c>
      <c r="H24" s="26">
        <v>25998</v>
      </c>
      <c r="I24" s="26">
        <v>22299</v>
      </c>
      <c r="J24" s="26">
        <v>11552</v>
      </c>
      <c r="K24" s="29">
        <v>12373</v>
      </c>
      <c r="L24" s="27">
        <v>4915</v>
      </c>
      <c r="M24" s="27">
        <v>5518</v>
      </c>
      <c r="N24" s="27">
        <v>4715</v>
      </c>
      <c r="O24" s="5">
        <v>6216</v>
      </c>
      <c r="P24" s="5">
        <v>5171</v>
      </c>
    </row>
    <row r="25" spans="1:16" ht="11.25">
      <c r="A25" s="11" t="s">
        <v>22</v>
      </c>
      <c r="B25" s="11"/>
      <c r="C25" s="31">
        <v>40260</v>
      </c>
      <c r="D25" s="31">
        <v>41404</v>
      </c>
      <c r="E25" s="31">
        <v>38015</v>
      </c>
      <c r="F25" s="32">
        <v>36523</v>
      </c>
      <c r="G25" s="31">
        <v>35061</v>
      </c>
      <c r="H25" s="31">
        <v>33474</v>
      </c>
      <c r="I25" s="31">
        <v>13028</v>
      </c>
      <c r="J25" s="31">
        <v>11782</v>
      </c>
      <c r="K25" s="33">
        <v>10998</v>
      </c>
      <c r="L25" s="31">
        <v>10704</v>
      </c>
      <c r="M25" s="31">
        <v>10498</v>
      </c>
      <c r="N25" s="31">
        <v>10201</v>
      </c>
      <c r="O25" s="6">
        <v>9880</v>
      </c>
      <c r="P25" s="6">
        <v>5541</v>
      </c>
    </row>
    <row r="26" spans="1:16" ht="11.25">
      <c r="A26" s="19" t="s">
        <v>23</v>
      </c>
      <c r="E26" s="27"/>
      <c r="F26" s="34"/>
      <c r="H26" s="26"/>
      <c r="J26" s="26"/>
      <c r="K26" s="29"/>
      <c r="L26" s="27"/>
      <c r="M26" s="27"/>
      <c r="N26" s="27"/>
      <c r="O26" s="5"/>
      <c r="P26" s="5"/>
    </row>
    <row r="27" spans="1:16" ht="11.25">
      <c r="A27" s="25" t="s">
        <v>12</v>
      </c>
      <c r="C27" s="27">
        <f aca="true" t="shared" si="4" ref="C27:J27">(C10+G10)/2</f>
        <v>251820</v>
      </c>
      <c r="D27" s="27">
        <f t="shared" si="4"/>
        <v>264619.5</v>
      </c>
      <c r="E27" s="27">
        <f t="shared" si="4"/>
        <v>285471</v>
      </c>
      <c r="F27" s="28">
        <f t="shared" si="4"/>
        <v>163537</v>
      </c>
      <c r="G27" s="26">
        <f t="shared" si="4"/>
        <v>143317.5</v>
      </c>
      <c r="H27" s="26">
        <f t="shared" si="4"/>
        <v>148662.5</v>
      </c>
      <c r="I27" s="26">
        <f t="shared" si="4"/>
        <v>179611.5</v>
      </c>
      <c r="J27" s="26">
        <f t="shared" si="4"/>
        <v>54324</v>
      </c>
      <c r="K27" s="29">
        <f>(K10+40634)/2</f>
        <v>54195</v>
      </c>
      <c r="L27" s="27">
        <f>(L10+37477)/2</f>
        <v>44070</v>
      </c>
      <c r="M27" s="27">
        <f>(M10+33338)/2</f>
        <v>39691.5</v>
      </c>
      <c r="N27" s="27">
        <f>(N10+33849)/2</f>
        <v>36085.5</v>
      </c>
      <c r="O27" s="5">
        <f>(O10+P10)/2</f>
        <v>38748.5</v>
      </c>
      <c r="P27" s="5">
        <f>(P10+32079)/2</f>
        <v>34471</v>
      </c>
    </row>
    <row r="28" spans="1:16" ht="11.25">
      <c r="A28" s="25" t="s">
        <v>24</v>
      </c>
      <c r="C28" s="27">
        <f aca="true" t="shared" si="5" ref="C28:P28">C29+C30</f>
        <v>163747.5</v>
      </c>
      <c r="D28" s="27">
        <f t="shared" si="5"/>
        <v>177692.5</v>
      </c>
      <c r="E28" s="27">
        <f t="shared" si="5"/>
        <v>217382.5</v>
      </c>
      <c r="F28" s="28">
        <f t="shared" si="5"/>
        <v>108143</v>
      </c>
      <c r="G28" s="26">
        <f t="shared" si="5"/>
        <v>102763</v>
      </c>
      <c r="H28" s="26">
        <f t="shared" si="5"/>
        <v>115005.5</v>
      </c>
      <c r="I28" s="26">
        <f t="shared" si="5"/>
        <v>139683.5</v>
      </c>
      <c r="J28" s="26">
        <f t="shared" si="5"/>
        <v>39143</v>
      </c>
      <c r="K28" s="29">
        <f t="shared" si="5"/>
        <v>36273.5</v>
      </c>
      <c r="L28" s="27">
        <f t="shared" si="5"/>
        <v>30936.5</v>
      </c>
      <c r="M28" s="27">
        <f t="shared" si="5"/>
        <v>30279</v>
      </c>
      <c r="N28" s="27">
        <f t="shared" si="5"/>
        <v>25748</v>
      </c>
      <c r="O28" s="5">
        <f t="shared" si="5"/>
        <v>25245.5</v>
      </c>
      <c r="P28" s="5">
        <f t="shared" si="5"/>
        <v>21228</v>
      </c>
    </row>
    <row r="29" spans="2:16" ht="11.25">
      <c r="B29" s="25" t="s">
        <v>14</v>
      </c>
      <c r="C29" s="27">
        <f aca="true" t="shared" si="6" ref="C29:K29">(C12+G12)/2</f>
        <v>163705</v>
      </c>
      <c r="D29" s="27">
        <f t="shared" si="6"/>
        <v>177260</v>
      </c>
      <c r="E29" s="27">
        <f t="shared" si="6"/>
        <v>216939.5</v>
      </c>
      <c r="F29" s="28">
        <f t="shared" si="6"/>
        <v>108113.5</v>
      </c>
      <c r="G29" s="26">
        <f t="shared" si="6"/>
        <v>102733.5</v>
      </c>
      <c r="H29" s="26">
        <f t="shared" si="6"/>
        <v>114602.5</v>
      </c>
      <c r="I29" s="26">
        <f t="shared" si="6"/>
        <v>139270</v>
      </c>
      <c r="J29" s="26">
        <f t="shared" si="6"/>
        <v>39143</v>
      </c>
      <c r="K29" s="29">
        <f t="shared" si="6"/>
        <v>36273.5</v>
      </c>
      <c r="L29" s="27">
        <f>(L12+26619)/2</f>
        <v>30936.5</v>
      </c>
      <c r="M29" s="27">
        <f>(M12+24508)/2</f>
        <v>30279</v>
      </c>
      <c r="N29" s="27">
        <f>(N12+22964)/2</f>
        <v>25748</v>
      </c>
      <c r="O29" s="5">
        <f>(O12+P12)/2</f>
        <v>25245.5</v>
      </c>
      <c r="P29" s="5">
        <f>(P12+20109)/2</f>
        <v>21228</v>
      </c>
    </row>
    <row r="30" spans="2:16" ht="11.25">
      <c r="B30" s="25" t="s">
        <v>17</v>
      </c>
      <c r="C30" s="27">
        <f aca="true" t="shared" si="7" ref="C30:J30">(C15+G15)/2</f>
        <v>42.5</v>
      </c>
      <c r="D30" s="27">
        <f t="shared" si="7"/>
        <v>432.5</v>
      </c>
      <c r="E30" s="27">
        <f t="shared" si="7"/>
        <v>443</v>
      </c>
      <c r="F30" s="28">
        <f t="shared" si="7"/>
        <v>29.5</v>
      </c>
      <c r="G30" s="26">
        <f t="shared" si="7"/>
        <v>29.5</v>
      </c>
      <c r="H30" s="26">
        <f t="shared" si="7"/>
        <v>403</v>
      </c>
      <c r="I30" s="26">
        <f t="shared" si="7"/>
        <v>413.5</v>
      </c>
      <c r="J30" s="26">
        <f t="shared" si="7"/>
        <v>0</v>
      </c>
      <c r="K30" s="29">
        <v>0</v>
      </c>
      <c r="L30" s="27">
        <v>0</v>
      </c>
      <c r="M30" s="27">
        <v>0</v>
      </c>
      <c r="N30" s="27">
        <v>0</v>
      </c>
      <c r="O30" s="5">
        <f>(O15+P15)/2</f>
        <v>0</v>
      </c>
      <c r="P30" s="5">
        <v>0</v>
      </c>
    </row>
    <row r="31" spans="1:16" ht="11.25">
      <c r="A31" s="11" t="s">
        <v>22</v>
      </c>
      <c r="B31" s="11"/>
      <c r="C31" s="31">
        <f aca="true" t="shared" si="8" ref="C31:K31">(C25+G25)/2</f>
        <v>37660.5</v>
      </c>
      <c r="D31" s="31">
        <f t="shared" si="8"/>
        <v>37439</v>
      </c>
      <c r="E31" s="31">
        <f t="shared" si="8"/>
        <v>25521.5</v>
      </c>
      <c r="F31" s="32">
        <f t="shared" si="8"/>
        <v>24152.5</v>
      </c>
      <c r="G31" s="31">
        <f t="shared" si="8"/>
        <v>23029.5</v>
      </c>
      <c r="H31" s="31">
        <f t="shared" si="8"/>
        <v>22089</v>
      </c>
      <c r="I31" s="31">
        <f t="shared" si="8"/>
        <v>11763</v>
      </c>
      <c r="J31" s="31">
        <f t="shared" si="8"/>
        <v>10991.5</v>
      </c>
      <c r="K31" s="33">
        <f t="shared" si="8"/>
        <v>10439</v>
      </c>
      <c r="L31" s="31">
        <f>(L25+5948)/2</f>
        <v>8326</v>
      </c>
      <c r="M31" s="31">
        <f>(M25+5821)/2</f>
        <v>8159.5</v>
      </c>
      <c r="N31" s="31">
        <f>(N25+5666)/2</f>
        <v>7933.5</v>
      </c>
      <c r="O31" s="6">
        <f>(O25+P25)/2</f>
        <v>7710.5</v>
      </c>
      <c r="P31" s="6">
        <f>(P25+5233)/2</f>
        <v>5387</v>
      </c>
    </row>
    <row r="32" spans="1:16" ht="11.25">
      <c r="A32" s="19" t="s">
        <v>25</v>
      </c>
      <c r="E32" s="27"/>
      <c r="F32" s="34"/>
      <c r="H32" s="26"/>
      <c r="J32" s="26"/>
      <c r="K32" s="35"/>
      <c r="L32" s="12"/>
      <c r="M32" s="12"/>
      <c r="N32" s="12"/>
      <c r="O32" s="4"/>
      <c r="P32" s="4"/>
    </row>
    <row r="33" spans="1:16" ht="11.25">
      <c r="A33" s="25" t="s">
        <v>26</v>
      </c>
      <c r="C33" s="26">
        <v>38797</v>
      </c>
      <c r="D33" s="26">
        <v>28347</v>
      </c>
      <c r="E33" s="27">
        <v>17884</v>
      </c>
      <c r="F33" s="36">
        <v>8469</v>
      </c>
      <c r="G33" s="37">
        <v>37026</v>
      </c>
      <c r="H33" s="26">
        <f>I33+10227</f>
        <v>21822</v>
      </c>
      <c r="I33" s="26">
        <f>J33+9485</f>
        <v>11595</v>
      </c>
      <c r="J33" s="26">
        <v>2110</v>
      </c>
      <c r="K33" s="29">
        <f>1676+L33</f>
        <v>6143</v>
      </c>
      <c r="L33" s="27">
        <f>1627+M33</f>
        <v>4467</v>
      </c>
      <c r="M33" s="27">
        <f>1461+N33</f>
        <v>2840</v>
      </c>
      <c r="N33" s="27">
        <v>1379</v>
      </c>
      <c r="O33" s="5">
        <v>4399</v>
      </c>
      <c r="P33" s="5">
        <v>4330</v>
      </c>
    </row>
    <row r="34" spans="1:16" ht="11.25">
      <c r="A34" s="25" t="s">
        <v>27</v>
      </c>
      <c r="C34" s="26">
        <v>18530</v>
      </c>
      <c r="D34" s="26">
        <v>13334</v>
      </c>
      <c r="E34" s="27">
        <v>8671</v>
      </c>
      <c r="F34" s="36">
        <v>3981</v>
      </c>
      <c r="G34" s="37">
        <v>20165</v>
      </c>
      <c r="H34" s="26">
        <f>I34+5660</f>
        <v>12028</v>
      </c>
      <c r="I34" s="26">
        <f>J34+5231</f>
        <v>6368</v>
      </c>
      <c r="J34" s="26">
        <v>1137</v>
      </c>
      <c r="K34" s="29">
        <f>854+L34</f>
        <v>2902</v>
      </c>
      <c r="L34" s="27">
        <f>786+M34</f>
        <v>2048</v>
      </c>
      <c r="M34" s="27">
        <f>656+N34</f>
        <v>1262</v>
      </c>
      <c r="N34" s="27">
        <v>606</v>
      </c>
      <c r="O34" s="5">
        <v>2495</v>
      </c>
      <c r="P34" s="5">
        <v>2726</v>
      </c>
    </row>
    <row r="35" spans="1:16" ht="11.25">
      <c r="A35" s="25" t="s">
        <v>28</v>
      </c>
      <c r="C35" s="27">
        <f aca="true" t="shared" si="9" ref="C35:P35">C33-C34</f>
        <v>20267</v>
      </c>
      <c r="D35" s="27">
        <f t="shared" si="9"/>
        <v>15013</v>
      </c>
      <c r="E35" s="27">
        <f t="shared" si="9"/>
        <v>9213</v>
      </c>
      <c r="F35" s="28">
        <f t="shared" si="9"/>
        <v>4488</v>
      </c>
      <c r="G35" s="26">
        <f t="shared" si="9"/>
        <v>16861</v>
      </c>
      <c r="H35" s="26">
        <f t="shared" si="9"/>
        <v>9794</v>
      </c>
      <c r="I35" s="26">
        <f t="shared" si="9"/>
        <v>5227</v>
      </c>
      <c r="J35" s="26">
        <f t="shared" si="9"/>
        <v>973</v>
      </c>
      <c r="K35" s="29">
        <f t="shared" si="9"/>
        <v>3241</v>
      </c>
      <c r="L35" s="27">
        <f t="shared" si="9"/>
        <v>2419</v>
      </c>
      <c r="M35" s="27">
        <f t="shared" si="9"/>
        <v>1578</v>
      </c>
      <c r="N35" s="27">
        <f t="shared" si="9"/>
        <v>773</v>
      </c>
      <c r="O35" s="5">
        <f t="shared" si="9"/>
        <v>1904</v>
      </c>
      <c r="P35" s="5">
        <f t="shared" si="9"/>
        <v>1604</v>
      </c>
    </row>
    <row r="36" spans="1:16" ht="11.25">
      <c r="A36" s="25" t="s">
        <v>29</v>
      </c>
      <c r="C36" s="26">
        <v>21911</v>
      </c>
      <c r="D36" s="26">
        <v>14599</v>
      </c>
      <c r="E36" s="27">
        <v>9187</v>
      </c>
      <c r="F36" s="36">
        <v>3299</v>
      </c>
      <c r="G36" s="37">
        <v>15817</v>
      </c>
      <c r="H36" s="26">
        <f>I36+3775</f>
        <v>9316</v>
      </c>
      <c r="I36" s="26">
        <f>J36+4208</f>
        <v>5541</v>
      </c>
      <c r="J36" s="26">
        <v>1333</v>
      </c>
      <c r="K36" s="29">
        <f>1246+L36</f>
        <v>3641</v>
      </c>
      <c r="L36" s="27">
        <f>911+M36</f>
        <v>2395</v>
      </c>
      <c r="M36" s="27">
        <f>835+N36</f>
        <v>1484</v>
      </c>
      <c r="N36" s="27">
        <v>649</v>
      </c>
      <c r="O36" s="5">
        <v>2020</v>
      </c>
      <c r="P36" s="5">
        <v>1588</v>
      </c>
    </row>
    <row r="37" spans="1:16" ht="11.25">
      <c r="A37" s="25" t="s">
        <v>30</v>
      </c>
      <c r="C37" s="27">
        <f aca="true" t="shared" si="10" ref="C37:P37">C35+C36</f>
        <v>42178</v>
      </c>
      <c r="D37" s="27">
        <f t="shared" si="10"/>
        <v>29612</v>
      </c>
      <c r="E37" s="27">
        <f t="shared" si="10"/>
        <v>18400</v>
      </c>
      <c r="F37" s="28">
        <f t="shared" si="10"/>
        <v>7787</v>
      </c>
      <c r="G37" s="26">
        <f t="shared" si="10"/>
        <v>32678</v>
      </c>
      <c r="H37" s="26">
        <f t="shared" si="10"/>
        <v>19110</v>
      </c>
      <c r="I37" s="26">
        <f t="shared" si="10"/>
        <v>10768</v>
      </c>
      <c r="J37" s="26">
        <f t="shared" si="10"/>
        <v>2306</v>
      </c>
      <c r="K37" s="29">
        <f t="shared" si="10"/>
        <v>6882</v>
      </c>
      <c r="L37" s="27">
        <f t="shared" si="10"/>
        <v>4814</v>
      </c>
      <c r="M37" s="27">
        <f t="shared" si="10"/>
        <v>3062</v>
      </c>
      <c r="N37" s="27">
        <f t="shared" si="10"/>
        <v>1422</v>
      </c>
      <c r="O37" s="5">
        <f t="shared" si="10"/>
        <v>3924</v>
      </c>
      <c r="P37" s="5">
        <f t="shared" si="10"/>
        <v>3192</v>
      </c>
    </row>
    <row r="38" spans="1:16" ht="11.25">
      <c r="A38" s="25" t="s">
        <v>31</v>
      </c>
      <c r="C38" s="26">
        <v>22511</v>
      </c>
      <c r="D38" s="26">
        <v>16466</v>
      </c>
      <c r="E38" s="27">
        <v>10644</v>
      </c>
      <c r="F38" s="36">
        <v>4012</v>
      </c>
      <c r="G38" s="37">
        <v>19399</v>
      </c>
      <c r="H38" s="26">
        <f>I38+5547</f>
        <v>12167</v>
      </c>
      <c r="I38" s="26">
        <f>J38+5405</f>
        <v>6620</v>
      </c>
      <c r="J38" s="26">
        <v>1215</v>
      </c>
      <c r="K38" s="29">
        <f>1361+L38</f>
        <v>4471</v>
      </c>
      <c r="L38" s="27">
        <f>1245+M38</f>
        <v>3110</v>
      </c>
      <c r="M38" s="27">
        <f>986+N38</f>
        <v>1865</v>
      </c>
      <c r="N38" s="27">
        <v>879</v>
      </c>
      <c r="O38" s="5">
        <v>3430</v>
      </c>
      <c r="P38" s="5">
        <v>2587</v>
      </c>
    </row>
    <row r="39" spans="1:16" ht="11.25">
      <c r="A39" s="25" t="s">
        <v>32</v>
      </c>
      <c r="C39" s="27">
        <f aca="true" t="shared" si="11" ref="C39:P39">C37-C38</f>
        <v>19667</v>
      </c>
      <c r="D39" s="27">
        <f t="shared" si="11"/>
        <v>13146</v>
      </c>
      <c r="E39" s="27">
        <f t="shared" si="11"/>
        <v>7756</v>
      </c>
      <c r="F39" s="28">
        <f t="shared" si="11"/>
        <v>3775</v>
      </c>
      <c r="G39" s="26">
        <f t="shared" si="11"/>
        <v>13279</v>
      </c>
      <c r="H39" s="26">
        <f t="shared" si="11"/>
        <v>6943</v>
      </c>
      <c r="I39" s="26">
        <f t="shared" si="11"/>
        <v>4148</v>
      </c>
      <c r="J39" s="26">
        <f t="shared" si="11"/>
        <v>1091</v>
      </c>
      <c r="K39" s="29">
        <f t="shared" si="11"/>
        <v>2411</v>
      </c>
      <c r="L39" s="27">
        <f t="shared" si="11"/>
        <v>1704</v>
      </c>
      <c r="M39" s="27">
        <f t="shared" si="11"/>
        <v>1197</v>
      </c>
      <c r="N39" s="27">
        <f t="shared" si="11"/>
        <v>543</v>
      </c>
      <c r="O39" s="5">
        <f t="shared" si="11"/>
        <v>494</v>
      </c>
      <c r="P39" s="5">
        <f t="shared" si="11"/>
        <v>605</v>
      </c>
    </row>
    <row r="40" spans="1:16" ht="11.25">
      <c r="A40" s="11" t="s">
        <v>33</v>
      </c>
      <c r="B40" s="11"/>
      <c r="C40" s="31">
        <v>10260</v>
      </c>
      <c r="D40" s="31">
        <v>6478</v>
      </c>
      <c r="E40" s="31">
        <v>3041</v>
      </c>
      <c r="F40" s="38">
        <v>1478</v>
      </c>
      <c r="G40" s="39">
        <v>5164</v>
      </c>
      <c r="H40" s="31">
        <f>I40+447</f>
        <v>2539</v>
      </c>
      <c r="I40" s="31">
        <f>J40+1245</f>
        <v>2092</v>
      </c>
      <c r="J40" s="31">
        <v>847</v>
      </c>
      <c r="K40" s="33">
        <f>291+L40</f>
        <v>1017</v>
      </c>
      <c r="L40" s="31">
        <f>205+M40</f>
        <v>726</v>
      </c>
      <c r="M40" s="31">
        <f>301+N40</f>
        <v>521</v>
      </c>
      <c r="N40" s="31">
        <v>220</v>
      </c>
      <c r="O40" s="6">
        <v>569</v>
      </c>
      <c r="P40" s="6">
        <v>327</v>
      </c>
    </row>
    <row r="41" spans="1:16" ht="11.25">
      <c r="A41" s="19" t="s">
        <v>34</v>
      </c>
      <c r="E41" s="27"/>
      <c r="F41" s="34"/>
      <c r="H41" s="26"/>
      <c r="I41" s="26"/>
      <c r="K41" s="29"/>
      <c r="L41" s="27"/>
      <c r="M41" s="27"/>
      <c r="N41" s="27"/>
      <c r="O41" s="5"/>
      <c r="P41" s="5"/>
    </row>
    <row r="42" spans="1:16" ht="11.25">
      <c r="A42" s="25" t="s">
        <v>35</v>
      </c>
      <c r="C42" s="26">
        <v>3467</v>
      </c>
      <c r="D42" s="26">
        <v>3587</v>
      </c>
      <c r="E42" s="27">
        <v>4258</v>
      </c>
      <c r="F42" s="28">
        <v>6952</v>
      </c>
      <c r="G42" s="26">
        <v>5102</v>
      </c>
      <c r="H42" s="26">
        <v>1038</v>
      </c>
      <c r="I42" s="26">
        <v>396</v>
      </c>
      <c r="J42" s="26">
        <v>151</v>
      </c>
      <c r="K42" s="29">
        <v>829</v>
      </c>
      <c r="L42" s="27">
        <v>918</v>
      </c>
      <c r="M42" s="27">
        <v>777</v>
      </c>
      <c r="N42" s="27">
        <v>537</v>
      </c>
      <c r="O42" s="5">
        <v>671</v>
      </c>
      <c r="P42" s="5">
        <v>1169</v>
      </c>
    </row>
    <row r="43" spans="1:16" ht="11.25">
      <c r="A43" s="25" t="s">
        <v>36</v>
      </c>
      <c r="C43" s="26">
        <v>3650</v>
      </c>
      <c r="D43" s="26">
        <v>2844</v>
      </c>
      <c r="E43" s="27">
        <v>2822</v>
      </c>
      <c r="F43" s="28">
        <v>2736</v>
      </c>
      <c r="G43" s="26">
        <v>4718</v>
      </c>
      <c r="H43" s="26">
        <v>3419</v>
      </c>
      <c r="I43" s="26">
        <v>2541</v>
      </c>
      <c r="J43" s="26">
        <v>449</v>
      </c>
      <c r="K43" s="29">
        <v>1443</v>
      </c>
      <c r="L43" s="27">
        <v>1047</v>
      </c>
      <c r="M43" s="27">
        <v>745</v>
      </c>
      <c r="N43" s="27">
        <v>392</v>
      </c>
      <c r="O43" s="5">
        <v>469</v>
      </c>
      <c r="P43" s="5">
        <v>700</v>
      </c>
    </row>
    <row r="44" spans="1:16" ht="11.25">
      <c r="A44" s="25" t="s">
        <v>37</v>
      </c>
      <c r="C44" s="40">
        <f aca="true" t="shared" si="12" ref="C44:P44">C42/C12</f>
        <v>0.020842100200786313</v>
      </c>
      <c r="D44" s="40">
        <f t="shared" si="12"/>
        <v>0.02233930584359372</v>
      </c>
      <c r="E44" s="40">
        <f t="shared" si="12"/>
        <v>0.02224788258468355</v>
      </c>
      <c r="F44" s="41">
        <f t="shared" si="12"/>
        <v>0.041760525730899306</v>
      </c>
      <c r="G44" s="42">
        <f t="shared" si="12"/>
        <v>0.031676848954452885</v>
      </c>
      <c r="H44" s="42">
        <f t="shared" si="12"/>
        <v>0.005351867224195802</v>
      </c>
      <c r="I44" s="42">
        <f t="shared" si="12"/>
        <v>0.0016330570332797228</v>
      </c>
      <c r="J44" s="42">
        <f t="shared" si="12"/>
        <v>0.0030349318647746914</v>
      </c>
      <c r="K44" s="43">
        <f t="shared" si="12"/>
        <v>0.01866990969078666</v>
      </c>
      <c r="L44" s="40">
        <f t="shared" si="12"/>
        <v>0.02603959834345039</v>
      </c>
      <c r="M44" s="40">
        <f t="shared" si="12"/>
        <v>0.02155339805825243</v>
      </c>
      <c r="N44" s="40">
        <f t="shared" si="12"/>
        <v>0.01882097294266087</v>
      </c>
      <c r="O44" s="7">
        <f t="shared" si="12"/>
        <v>0.023841671404206937</v>
      </c>
      <c r="P44" s="7">
        <f t="shared" si="12"/>
        <v>0.052311272206560164</v>
      </c>
    </row>
    <row r="45" spans="1:16" ht="11.25">
      <c r="A45" s="25" t="s">
        <v>38</v>
      </c>
      <c r="C45" s="40">
        <f aca="true" t="shared" si="13" ref="C45:P45">C43/C42</f>
        <v>1.0527833862128642</v>
      </c>
      <c r="D45" s="40">
        <f t="shared" si="13"/>
        <v>0.7928631168107053</v>
      </c>
      <c r="E45" s="40">
        <f t="shared" si="13"/>
        <v>0.6627524659464538</v>
      </c>
      <c r="F45" s="41">
        <f t="shared" si="13"/>
        <v>0.39355581127733025</v>
      </c>
      <c r="G45" s="42">
        <f t="shared" si="13"/>
        <v>0.924735397883183</v>
      </c>
      <c r="H45" s="42">
        <f t="shared" si="13"/>
        <v>3.2938342967244703</v>
      </c>
      <c r="I45" s="42">
        <f t="shared" si="13"/>
        <v>6.416666666666667</v>
      </c>
      <c r="J45" s="42">
        <f t="shared" si="13"/>
        <v>2.9735099337748343</v>
      </c>
      <c r="K45" s="43">
        <f t="shared" si="13"/>
        <v>1.7406513872135103</v>
      </c>
      <c r="L45" s="40">
        <f t="shared" si="13"/>
        <v>1.1405228758169934</v>
      </c>
      <c r="M45" s="40">
        <f t="shared" si="13"/>
        <v>0.9588159588159588</v>
      </c>
      <c r="N45" s="40">
        <f t="shared" si="13"/>
        <v>0.7299813780260708</v>
      </c>
      <c r="O45" s="7">
        <f t="shared" si="13"/>
        <v>0.698956780923994</v>
      </c>
      <c r="P45" s="7">
        <f t="shared" si="13"/>
        <v>0.5988023952095808</v>
      </c>
    </row>
    <row r="46" spans="1:16" ht="11.25">
      <c r="A46" s="11" t="s">
        <v>39</v>
      </c>
      <c r="B46" s="11"/>
      <c r="C46" s="44">
        <f aca="true" t="shared" si="14" ref="C46:P46">C43/C12</f>
        <v>0.02194221682517163</v>
      </c>
      <c r="D46" s="44">
        <f t="shared" si="14"/>
        <v>0.01771201165853932</v>
      </c>
      <c r="E46" s="44">
        <f t="shared" si="14"/>
        <v>0.014744839045086186</v>
      </c>
      <c r="F46" s="45">
        <f t="shared" si="14"/>
        <v>0.0164350975833919</v>
      </c>
      <c r="G46" s="44">
        <f t="shared" si="14"/>
        <v>0.029292703521581483</v>
      </c>
      <c r="H46" s="44">
        <f t="shared" si="14"/>
        <v>0.01762816381457172</v>
      </c>
      <c r="I46" s="44">
        <f t="shared" si="14"/>
        <v>0.010478782630211556</v>
      </c>
      <c r="J46" s="44">
        <f t="shared" si="14"/>
        <v>0.009024400048237327</v>
      </c>
      <c r="K46" s="46">
        <f t="shared" si="14"/>
        <v>0.032497804202418754</v>
      </c>
      <c r="L46" s="44">
        <f t="shared" si="14"/>
        <v>0.029698757587791457</v>
      </c>
      <c r="M46" s="44">
        <f t="shared" si="14"/>
        <v>0.020665742024965326</v>
      </c>
      <c r="N46" s="44">
        <f t="shared" si="14"/>
        <v>0.013738959764474975</v>
      </c>
      <c r="O46" s="8">
        <f t="shared" si="14"/>
        <v>0.01666429789653212</v>
      </c>
      <c r="P46" s="8">
        <f t="shared" si="14"/>
        <v>0.0313241150937486</v>
      </c>
    </row>
    <row r="47" spans="1:16" ht="11.25">
      <c r="A47" s="19" t="s">
        <v>40</v>
      </c>
      <c r="E47" s="12"/>
      <c r="F47" s="34"/>
      <c r="K47" s="35"/>
      <c r="L47" s="12"/>
      <c r="M47" s="12"/>
      <c r="N47" s="12"/>
      <c r="O47" s="4"/>
      <c r="P47" s="4"/>
    </row>
    <row r="48" spans="1:16" ht="11.25">
      <c r="A48" s="25" t="s">
        <v>41</v>
      </c>
      <c r="C48" s="40">
        <f aca="true" t="shared" si="15" ref="C48:P48">C25/(C12+C15)</f>
        <v>0.24198783449138075</v>
      </c>
      <c r="D48" s="40">
        <f t="shared" si="15"/>
        <v>0.25776327912941704</v>
      </c>
      <c r="E48" s="40">
        <f t="shared" si="15"/>
        <v>0.19856566796205757</v>
      </c>
      <c r="F48" s="41">
        <f t="shared" si="15"/>
        <v>0.2193152066870031</v>
      </c>
      <c r="G48" s="42">
        <f t="shared" si="15"/>
        <v>0.2176039423297729</v>
      </c>
      <c r="H48" s="42">
        <f t="shared" si="15"/>
        <v>0.17187572205363608</v>
      </c>
      <c r="I48" s="42">
        <f t="shared" si="15"/>
        <v>0.05354332003107058</v>
      </c>
      <c r="J48" s="42">
        <f t="shared" si="15"/>
        <v>0.2368050809985127</v>
      </c>
      <c r="K48" s="43">
        <f t="shared" si="15"/>
        <v>0.2476859671643808</v>
      </c>
      <c r="L48" s="40">
        <f t="shared" si="15"/>
        <v>0.30362512055369606</v>
      </c>
      <c r="M48" s="40">
        <f t="shared" si="15"/>
        <v>0.29120665742024965</v>
      </c>
      <c r="N48" s="40">
        <f t="shared" si="15"/>
        <v>0.35752838917706437</v>
      </c>
      <c r="O48" s="7">
        <f t="shared" si="15"/>
        <v>0.3510517339397385</v>
      </c>
      <c r="P48" s="7">
        <f t="shared" si="15"/>
        <v>0.2479527453349443</v>
      </c>
    </row>
    <row r="49" spans="1:16" ht="11.25">
      <c r="A49" s="11" t="s">
        <v>42</v>
      </c>
      <c r="B49" s="11"/>
      <c r="C49" s="44">
        <f>C25/C10</f>
        <v>0.14138172010914415</v>
      </c>
      <c r="D49" s="44">
        <f>D25/D10</f>
        <v>0.14652289464464552</v>
      </c>
      <c r="E49" s="44">
        <f>E25/E10</f>
        <v>0.14747986530314552</v>
      </c>
      <c r="F49" s="45">
        <f>F25/F12</f>
        <v>0.21939293458999357</v>
      </c>
      <c r="G49" s="44">
        <f>G25/G12</f>
        <v>0.21768365370287587</v>
      </c>
      <c r="H49" s="44">
        <f aca="true" t="shared" si="16" ref="H49:P49">H25/H10</f>
        <v>0.13570797285354047</v>
      </c>
      <c r="I49" s="44">
        <f t="shared" si="16"/>
        <v>0.04159934605879085</v>
      </c>
      <c r="J49" s="44">
        <f t="shared" si="16"/>
        <v>0.167534055683531</v>
      </c>
      <c r="K49" s="46">
        <f t="shared" si="16"/>
        <v>0.16231772831926325</v>
      </c>
      <c r="L49" s="44">
        <f t="shared" si="16"/>
        <v>0.21127844778240532</v>
      </c>
      <c r="M49" s="44">
        <f t="shared" si="16"/>
        <v>0.22799435334998372</v>
      </c>
      <c r="N49" s="44">
        <f t="shared" si="16"/>
        <v>0.2661917436459475</v>
      </c>
      <c r="O49" s="8">
        <f t="shared" si="16"/>
        <v>0.24314613377959343</v>
      </c>
      <c r="P49" s="8">
        <f t="shared" si="16"/>
        <v>0.15031332230149472</v>
      </c>
    </row>
    <row r="50" spans="1:16" ht="11.25">
      <c r="A50" s="19" t="s">
        <v>43</v>
      </c>
      <c r="E50" s="12"/>
      <c r="F50" s="34"/>
      <c r="J50" s="47"/>
      <c r="K50" s="48"/>
      <c r="L50" s="49"/>
      <c r="M50" s="49"/>
      <c r="N50" s="49"/>
      <c r="O50" s="9"/>
      <c r="P50" s="9"/>
    </row>
    <row r="51" spans="1:16" ht="11.25">
      <c r="A51" s="25" t="s">
        <v>44</v>
      </c>
      <c r="C51" s="49">
        <f aca="true" t="shared" si="17" ref="C51:P51">C11/C16</f>
        <v>0.3452820357891879</v>
      </c>
      <c r="D51" s="49">
        <f t="shared" si="17"/>
        <v>0.36190716679674945</v>
      </c>
      <c r="E51" s="49">
        <f t="shared" si="17"/>
        <v>0.2504775549188157</v>
      </c>
      <c r="F51" s="50">
        <f t="shared" si="17"/>
        <v>0.30105877769613526</v>
      </c>
      <c r="G51" s="47">
        <f t="shared" si="17"/>
        <v>0.27093423304129105</v>
      </c>
      <c r="H51" s="47">
        <f t="shared" si="17"/>
        <v>0.20719287238047435</v>
      </c>
      <c r="I51" s="47">
        <f t="shared" si="17"/>
        <v>0.2258391421118137</v>
      </c>
      <c r="J51" s="47">
        <f t="shared" si="17"/>
        <v>0.2533655829302134</v>
      </c>
      <c r="K51" s="48">
        <f t="shared" si="17"/>
        <v>0.3536138724867329</v>
      </c>
      <c r="L51" s="49">
        <f t="shared" si="17"/>
        <v>0.33787201980517734</v>
      </c>
      <c r="M51" s="49">
        <f t="shared" si="17"/>
        <v>0.24065427690805336</v>
      </c>
      <c r="N51" s="49">
        <f t="shared" si="17"/>
        <v>0.2994301567069056</v>
      </c>
      <c r="O51" s="9">
        <f t="shared" si="17"/>
        <v>0.3668961265796774</v>
      </c>
      <c r="P51" s="9">
        <f t="shared" si="17"/>
        <v>0.43118431689571546</v>
      </c>
    </row>
    <row r="52" spans="1:16" ht="11.25">
      <c r="A52" s="25" t="s">
        <v>45</v>
      </c>
      <c r="C52" s="49">
        <f aca="true" t="shared" si="18" ref="C52:P52">C11/C10</f>
        <v>0.27693399025849746</v>
      </c>
      <c r="D52" s="49">
        <f t="shared" si="18"/>
        <v>0.27895759385937285</v>
      </c>
      <c r="E52" s="49">
        <f t="shared" si="18"/>
        <v>0.19127186108223027</v>
      </c>
      <c r="F52" s="50">
        <f t="shared" si="18"/>
        <v>0.2377778989515011</v>
      </c>
      <c r="G52" s="47">
        <f t="shared" si="18"/>
        <v>0.20472041630307156</v>
      </c>
      <c r="H52" s="47">
        <f t="shared" si="18"/>
        <v>0.16734640925639133</v>
      </c>
      <c r="I52" s="47">
        <f t="shared" si="18"/>
        <v>0.18714596810759376</v>
      </c>
      <c r="J52" s="47">
        <f t="shared" si="18"/>
        <v>0.19214799647356595</v>
      </c>
      <c r="K52" s="48">
        <f t="shared" si="18"/>
        <v>0.2792962984827912</v>
      </c>
      <c r="L52" s="49">
        <f t="shared" si="18"/>
        <v>0.24783372480903224</v>
      </c>
      <c r="M52" s="49">
        <f t="shared" si="18"/>
        <v>0.17126723857096318</v>
      </c>
      <c r="N52" s="49">
        <f t="shared" si="18"/>
        <v>0.2084181410156046</v>
      </c>
      <c r="O52" s="9">
        <f t="shared" si="18"/>
        <v>0.26364620760939117</v>
      </c>
      <c r="P52" s="9">
        <f t="shared" si="18"/>
        <v>0.34725876895532104</v>
      </c>
    </row>
    <row r="53" spans="1:16" ht="11.25">
      <c r="A53" s="11" t="s">
        <v>46</v>
      </c>
      <c r="B53" s="11"/>
      <c r="C53" s="51">
        <f aca="true" t="shared" si="19" ref="C53:P53">(C11+C15)/C16</f>
        <v>0.34539587465465227</v>
      </c>
      <c r="D53" s="51">
        <f t="shared" si="19"/>
        <v>0.362178045085166</v>
      </c>
      <c r="E53" s="51">
        <f t="shared" si="19"/>
        <v>0.25077729683594463</v>
      </c>
      <c r="F53" s="52">
        <f t="shared" si="19"/>
        <v>0.3013497319768617</v>
      </c>
      <c r="G53" s="51">
        <f t="shared" si="19"/>
        <v>0.2712909720836583</v>
      </c>
      <c r="H53" s="51">
        <f t="shared" si="19"/>
        <v>0.211238549378843</v>
      </c>
      <c r="I53" s="51">
        <f t="shared" si="19"/>
        <v>0.2290257821139715</v>
      </c>
      <c r="J53" s="51">
        <f t="shared" si="19"/>
        <v>0.2533655829302134</v>
      </c>
      <c r="K53" s="53">
        <f t="shared" si="19"/>
        <v>0.3536138724867329</v>
      </c>
      <c r="L53" s="51">
        <f t="shared" si="19"/>
        <v>0.33787201980517734</v>
      </c>
      <c r="M53" s="51">
        <f t="shared" si="19"/>
        <v>0.24065427690805336</v>
      </c>
      <c r="N53" s="51">
        <f t="shared" si="19"/>
        <v>0.2994301567069056</v>
      </c>
      <c r="O53" s="10">
        <f t="shared" si="19"/>
        <v>0.3668961265796774</v>
      </c>
      <c r="P53" s="10">
        <f t="shared" si="19"/>
        <v>0.43118431689571546</v>
      </c>
    </row>
    <row r="54" spans="1:16" ht="11.25">
      <c r="A54" s="19" t="s">
        <v>47</v>
      </c>
      <c r="E54" s="12"/>
      <c r="F54" s="34"/>
      <c r="K54" s="35"/>
      <c r="L54" s="12"/>
      <c r="M54" s="12"/>
      <c r="N54" s="12"/>
      <c r="O54" s="4"/>
      <c r="P54" s="4"/>
    </row>
    <row r="55" spans="1:16" ht="11.25">
      <c r="A55" s="25" t="s">
        <v>48</v>
      </c>
      <c r="B55" s="12"/>
      <c r="C55" s="40">
        <f>(C40)/C28</f>
        <v>0.06265744515183438</v>
      </c>
      <c r="D55" s="40">
        <f>(D40/0.75)/D28</f>
        <v>0.048608316801965944</v>
      </c>
      <c r="E55" s="40">
        <f>(E40/0.5)/E28</f>
        <v>0.027978333122491462</v>
      </c>
      <c r="F55" s="41">
        <f>((F40)/0.25)/F28</f>
        <v>0.054668355788169365</v>
      </c>
      <c r="G55" s="54">
        <f>G40/G28</f>
        <v>0.05025154968227864</v>
      </c>
      <c r="H55" s="54">
        <f>(H40/0.75)/H28</f>
        <v>0.029436273337651968</v>
      </c>
      <c r="I55" s="42">
        <f>(I40/0.5)/I28</f>
        <v>0.029953430433802133</v>
      </c>
      <c r="J55" s="42">
        <f>((J40)/0.25)/J28</f>
        <v>0.08655442863347214</v>
      </c>
      <c r="K55" s="55">
        <f>K40/K28</f>
        <v>0.028036996705583968</v>
      </c>
      <c r="L55" s="54">
        <f>(L40/0.75)/L28</f>
        <v>0.031289900279604994</v>
      </c>
      <c r="M55" s="54">
        <f>(M40/0.5)/M28</f>
        <v>0.03441328973876284</v>
      </c>
      <c r="N55" s="40">
        <f>((N40)/0.25)/N28</f>
        <v>0.03417741183781264</v>
      </c>
      <c r="O55" s="7">
        <f>O40/O28</f>
        <v>0.022538670258065795</v>
      </c>
      <c r="P55" s="7">
        <f>P40/P28</f>
        <v>0.015404183154324477</v>
      </c>
    </row>
    <row r="56" spans="1:16" ht="11.25">
      <c r="A56" s="25" t="s">
        <v>49</v>
      </c>
      <c r="B56" s="12"/>
      <c r="C56" s="40">
        <f>(C40)/C27</f>
        <v>0.0407433881343817</v>
      </c>
      <c r="D56" s="40">
        <f>(D40/0.75)/D27</f>
        <v>0.0326405776344273</v>
      </c>
      <c r="E56" s="40">
        <f>(E40/0.5)/E27</f>
        <v>0.021305141327840657</v>
      </c>
      <c r="F56" s="41">
        <f>((F40)/0.25)/F27</f>
        <v>0.03615084048258192</v>
      </c>
      <c r="G56" s="54">
        <f>G40/G27</f>
        <v>0.036031887243358277</v>
      </c>
      <c r="H56" s="54">
        <f>(H40/0.75)/H27</f>
        <v>0.02277193867541131</v>
      </c>
      <c r="I56" s="42">
        <f>(I40/0.5)/I27</f>
        <v>0.023294722219902402</v>
      </c>
      <c r="J56" s="42">
        <f>((J40)/0.25)/J27</f>
        <v>0.06236654149179</v>
      </c>
      <c r="K56" s="55">
        <f>K40/K27</f>
        <v>0.018765568779407694</v>
      </c>
      <c r="L56" s="54">
        <f>(L40/0.75)/L27</f>
        <v>0.021965055593374177</v>
      </c>
      <c r="M56" s="54">
        <f>(M40/0.5)/M27</f>
        <v>0.026252472191779095</v>
      </c>
      <c r="N56" s="40">
        <f>((N40)/0.25)/N27</f>
        <v>0.024386526444139613</v>
      </c>
      <c r="O56" s="7">
        <f>O40/O27</f>
        <v>0.014684439397654103</v>
      </c>
      <c r="P56" s="7">
        <f>P40/P27</f>
        <v>0.00948623480606887</v>
      </c>
    </row>
    <row r="57" spans="1:16" ht="11.25">
      <c r="A57" s="25" t="s">
        <v>50</v>
      </c>
      <c r="B57" s="12"/>
      <c r="C57" s="40">
        <f>(C40)/C31</f>
        <v>0.27243398255466605</v>
      </c>
      <c r="D57" s="40">
        <f>(D40/0.75)/D31</f>
        <v>0.230704167668296</v>
      </c>
      <c r="E57" s="40">
        <f>(E40/0.5)/E31</f>
        <v>0.23830887682933996</v>
      </c>
      <c r="F57" s="41">
        <f>((F40)/0.25)/F31</f>
        <v>0.24477797329469</v>
      </c>
      <c r="G57" s="54">
        <f>+G40/G31</f>
        <v>0.2242341344796891</v>
      </c>
      <c r="H57" s="54">
        <f>(H40/0.75)/H31</f>
        <v>0.15325878642461557</v>
      </c>
      <c r="I57" s="42">
        <f>(I40/0.5)/I31</f>
        <v>0.3556915752784154</v>
      </c>
      <c r="J57" s="42">
        <f>((J40)/0.25)/J31</f>
        <v>0.30823818405131237</v>
      </c>
      <c r="K57" s="55">
        <f>+K40/K31</f>
        <v>0.09742312482038509</v>
      </c>
      <c r="L57" s="54">
        <f>(L40/0.75)/L31</f>
        <v>0.11626231083353351</v>
      </c>
      <c r="M57" s="54">
        <f>(M40/0.5)/M31</f>
        <v>0.12770390342545498</v>
      </c>
      <c r="N57" s="40">
        <f>((N40)/0.25)/N31</f>
        <v>0.11092203945295268</v>
      </c>
      <c r="O57" s="7">
        <f>O40/O31</f>
        <v>0.0737954737046884</v>
      </c>
      <c r="P57" s="7">
        <f>P40/P31</f>
        <v>0.06070168925190273</v>
      </c>
    </row>
    <row r="58" spans="1:16" ht="11.25">
      <c r="A58" s="25" t="s">
        <v>51</v>
      </c>
      <c r="B58" s="12"/>
      <c r="C58" s="40">
        <f>(C33)/C28</f>
        <v>0.23693186155513823</v>
      </c>
      <c r="D58" s="40">
        <f>(D33/0.75)/D28</f>
        <v>0.21270453170505227</v>
      </c>
      <c r="E58" s="40">
        <f>(E33/0.5)/E28</f>
        <v>0.16453946384828586</v>
      </c>
      <c r="F58" s="41">
        <f>((F33)/0.25)/F28</f>
        <v>0.31325189794993663</v>
      </c>
      <c r="G58" s="54">
        <f>G33/G28</f>
        <v>0.36030477895740687</v>
      </c>
      <c r="H58" s="54">
        <f>(H33/0.75)/H28</f>
        <v>0.25299659581498274</v>
      </c>
      <c r="I58" s="42">
        <f>(I33/0.5)/I28</f>
        <v>0.16601817680685263</v>
      </c>
      <c r="J58" s="42">
        <f>((J33)/0.25)/J28</f>
        <v>0.21561965102317146</v>
      </c>
      <c r="K58" s="55">
        <f>K33/K28</f>
        <v>0.16935228196893048</v>
      </c>
      <c r="L58" s="54">
        <f>(L33/0.75)/L28</f>
        <v>0.19252339469558613</v>
      </c>
      <c r="M58" s="54">
        <f>(M33/0.5)/M28</f>
        <v>0.18758875788500282</v>
      </c>
      <c r="N58" s="40">
        <f>((N33)/0.25)/N28</f>
        <v>0.21423023147428927</v>
      </c>
      <c r="O58" s="7">
        <f>O33/O28</f>
        <v>0.1742488760373136</v>
      </c>
      <c r="P58" s="7">
        <f>P33/P27</f>
        <v>0.12561283397638595</v>
      </c>
    </row>
    <row r="59" spans="1:16" ht="11.25">
      <c r="A59" s="25" t="s">
        <v>52</v>
      </c>
      <c r="B59" s="12"/>
      <c r="C59" s="40">
        <f>(C34)/C28</f>
        <v>0.11316203300813753</v>
      </c>
      <c r="D59" s="40">
        <f>(D34/0.75)/D28</f>
        <v>0.10005299417064123</v>
      </c>
      <c r="E59" s="40">
        <f>(E34/0.5)/E28</f>
        <v>0.0797764309454533</v>
      </c>
      <c r="F59" s="41">
        <f>((F34)/0.25)/F28</f>
        <v>0.1472494752318689</v>
      </c>
      <c r="G59" s="54">
        <f>G34/G28</f>
        <v>0.19622821443515662</v>
      </c>
      <c r="H59" s="54">
        <f>(H34/0.75)/H28</f>
        <v>0.1394484031923111</v>
      </c>
      <c r="I59" s="42">
        <f>(I34/0.5)/I28</f>
        <v>0.09117755497249139</v>
      </c>
      <c r="J59" s="42">
        <f>((J34)/0.25)/J28</f>
        <v>0.11618935697314973</v>
      </c>
      <c r="K59" s="55">
        <f>K34/K28</f>
        <v>0.08000330820020125</v>
      </c>
      <c r="L59" s="54">
        <f>(L34/0.75)/L28</f>
        <v>0.08826682613310059</v>
      </c>
      <c r="M59" s="54">
        <f>(M34/0.5)/M28</f>
        <v>0.0833581029756597</v>
      </c>
      <c r="N59" s="40">
        <f>((N34)/0.25)/N28</f>
        <v>0.09414323442597483</v>
      </c>
      <c r="O59" s="7">
        <f>O34/O28</f>
        <v>0.09882949436533243</v>
      </c>
      <c r="P59" s="7">
        <f>P34/P27</f>
        <v>0.07908096660961388</v>
      </c>
    </row>
    <row r="60" spans="1:16" ht="11.25">
      <c r="A60" s="25" t="s">
        <v>53</v>
      </c>
      <c r="B60" s="12"/>
      <c r="C60" s="40">
        <f>(C35)/C28</f>
        <v>0.12376982854700072</v>
      </c>
      <c r="D60" s="40">
        <f>(D35/0.75)/D28</f>
        <v>0.11265153753441103</v>
      </c>
      <c r="E60" s="40">
        <f>(E35/0.5)/E28</f>
        <v>0.08476303290283256</v>
      </c>
      <c r="F60" s="41">
        <f>((F35)/0.25)/F28</f>
        <v>0.16600242271806775</v>
      </c>
      <c r="G60" s="54">
        <f>G35/G28</f>
        <v>0.16407656452225022</v>
      </c>
      <c r="H60" s="54">
        <f>(H35/0.75)/H28</f>
        <v>0.11354819262267167</v>
      </c>
      <c r="I60" s="42">
        <f>(I35/0.5)/I28</f>
        <v>0.07484062183436126</v>
      </c>
      <c r="J60" s="42">
        <f>((J35)/0.25)/J28</f>
        <v>0.09943029405002171</v>
      </c>
      <c r="K60" s="55">
        <f>K35/K28</f>
        <v>0.08934897376872923</v>
      </c>
      <c r="L60" s="54">
        <f>(L35/0.75)/L28</f>
        <v>0.10425656856248552</v>
      </c>
      <c r="M60" s="54">
        <f>(M35/0.5)/M28</f>
        <v>0.1042306549093431</v>
      </c>
      <c r="N60" s="40">
        <f>((N35)/0.25)/N28</f>
        <v>0.12008699704831444</v>
      </c>
      <c r="O60" s="7">
        <f>O35/O28</f>
        <v>0.07541938167198114</v>
      </c>
      <c r="P60" s="7">
        <f>P35/P27</f>
        <v>0.04653186736677207</v>
      </c>
    </row>
    <row r="61" spans="1:16" ht="11.25">
      <c r="A61" s="25" t="s">
        <v>54</v>
      </c>
      <c r="B61" s="12"/>
      <c r="C61" s="40">
        <f>(C38)/(C37)</f>
        <v>0.533714258618237</v>
      </c>
      <c r="D61" s="40">
        <f>(D38/0.75)/(D37/0.75)</f>
        <v>0.5560583547210591</v>
      </c>
      <c r="E61" s="40">
        <f>(E38/0.5)/(E37/0.5)</f>
        <v>0.5784782608695652</v>
      </c>
      <c r="F61" s="41">
        <f>(F38/0.25)/(F37/0.25)</f>
        <v>0.5152176704764351</v>
      </c>
      <c r="G61" s="54">
        <f>G38/G37</f>
        <v>0.5936409817002265</v>
      </c>
      <c r="H61" s="54">
        <f>(H38/0.75)/(H37/0.75)</f>
        <v>0.6366823652537938</v>
      </c>
      <c r="I61" s="42">
        <f>(I38/0.5)/(I37/0.5)</f>
        <v>0.6147845468053492</v>
      </c>
      <c r="J61" s="42">
        <f>(J38/0.25)/(J37/0.25)</f>
        <v>0.5268863833477884</v>
      </c>
      <c r="K61" s="55">
        <f>K38/K37</f>
        <v>0.6496657948270852</v>
      </c>
      <c r="L61" s="54">
        <f>(L38/0.75)/(L37/0.75)</f>
        <v>0.646032405484005</v>
      </c>
      <c r="M61" s="54">
        <f>(M38/0.5)/(M37/0.5)</f>
        <v>0.6090790333115611</v>
      </c>
      <c r="N61" s="40">
        <f>(N38/0.25)/(N37/0.25)</f>
        <v>0.6181434599156118</v>
      </c>
      <c r="O61" s="7">
        <f>O38/O37</f>
        <v>0.8741080530071356</v>
      </c>
      <c r="P61" s="7">
        <f>P38/P37</f>
        <v>0.8104636591478697</v>
      </c>
    </row>
    <row r="62" spans="1:16" ht="11.25">
      <c r="A62" s="11" t="s">
        <v>55</v>
      </c>
      <c r="B62" s="11"/>
      <c r="C62" s="44">
        <f>(C36)/C28</f>
        <v>0.13380967648361045</v>
      </c>
      <c r="D62" s="44">
        <f>(D36/0.75)/D28</f>
        <v>0.10954504738991984</v>
      </c>
      <c r="E62" s="44">
        <f>(E36/0.5)/E28</f>
        <v>0.0845238232148402</v>
      </c>
      <c r="F62" s="45">
        <f>(F36/0.25)/F28</f>
        <v>0.12202361687765274</v>
      </c>
      <c r="G62" s="56">
        <f>G36/G28</f>
        <v>0.15391726594202193</v>
      </c>
      <c r="H62" s="56">
        <f>(H36/0.75)/H28</f>
        <v>0.10800642867804873</v>
      </c>
      <c r="I62" s="44">
        <f>(I36/0.5)/I28</f>
        <v>0.07933650001610784</v>
      </c>
      <c r="J62" s="44">
        <f>(J36/0.25)/J28</f>
        <v>0.13621848095444908</v>
      </c>
      <c r="K62" s="57">
        <f>K36/K28</f>
        <v>0.10037630777289205</v>
      </c>
      <c r="L62" s="56">
        <f>(L36/0.75)/L28</f>
        <v>0.10322219169373825</v>
      </c>
      <c r="M62" s="56">
        <f>(M36/0.5)/M28</f>
        <v>0.09802173123286767</v>
      </c>
      <c r="N62" s="44">
        <f>(N36/0.25)/N28</f>
        <v>0.10082336492154731</v>
      </c>
      <c r="O62" s="8">
        <f>O36/O28</f>
        <v>0.08001425996712286</v>
      </c>
      <c r="P62" s="8">
        <f>P36/P27</f>
        <v>0.04606770908879928</v>
      </c>
    </row>
    <row r="63" spans="1:16" ht="11.25">
      <c r="A63" s="19" t="s">
        <v>56</v>
      </c>
      <c r="E63" s="12"/>
      <c r="F63" s="34"/>
      <c r="K63" s="35"/>
      <c r="L63" s="12"/>
      <c r="M63" s="12"/>
      <c r="N63" s="12"/>
      <c r="O63" s="4"/>
      <c r="P63" s="4"/>
    </row>
    <row r="64" spans="1:16" ht="11.25">
      <c r="A64" s="25" t="s">
        <v>57</v>
      </c>
      <c r="C64" s="26">
        <v>271</v>
      </c>
      <c r="D64" s="26">
        <v>232</v>
      </c>
      <c r="E64" s="27">
        <v>200</v>
      </c>
      <c r="F64" s="28">
        <v>173</v>
      </c>
      <c r="G64" s="26">
        <v>173</v>
      </c>
      <c r="H64" s="26">
        <v>178</v>
      </c>
      <c r="I64" s="26">
        <v>179</v>
      </c>
      <c r="J64" s="26">
        <v>159</v>
      </c>
      <c r="K64" s="29">
        <v>146</v>
      </c>
      <c r="L64" s="27">
        <v>128</v>
      </c>
      <c r="M64" s="27">
        <v>96</v>
      </c>
      <c r="N64" s="27">
        <v>76</v>
      </c>
      <c r="O64" s="5">
        <v>55</v>
      </c>
      <c r="P64" s="5">
        <v>68</v>
      </c>
    </row>
    <row r="65" spans="1:16" ht="11.25">
      <c r="A65" s="25" t="s">
        <v>58</v>
      </c>
      <c r="C65" s="26">
        <v>5</v>
      </c>
      <c r="D65" s="26">
        <v>2</v>
      </c>
      <c r="E65" s="27">
        <v>2</v>
      </c>
      <c r="F65" s="28">
        <v>5</v>
      </c>
      <c r="G65" s="26">
        <v>5</v>
      </c>
      <c r="H65" s="26">
        <v>3</v>
      </c>
      <c r="I65" s="26">
        <v>3</v>
      </c>
      <c r="J65" s="26">
        <v>3</v>
      </c>
      <c r="K65" s="29">
        <v>3</v>
      </c>
      <c r="L65" s="27">
        <v>3</v>
      </c>
      <c r="M65" s="27">
        <v>3</v>
      </c>
      <c r="N65" s="27">
        <v>3</v>
      </c>
      <c r="O65" s="5">
        <v>3</v>
      </c>
      <c r="P65" s="5">
        <v>3</v>
      </c>
    </row>
    <row r="66" spans="1:16" ht="11.25">
      <c r="A66" s="25" t="s">
        <v>59</v>
      </c>
      <c r="C66" s="27">
        <f aca="true" t="shared" si="20" ref="C66:P66">C12/C64</f>
        <v>613.8228782287823</v>
      </c>
      <c r="D66" s="27">
        <f t="shared" si="20"/>
        <v>692.1077586206897</v>
      </c>
      <c r="E66" s="27">
        <f t="shared" si="20"/>
        <v>956.945</v>
      </c>
      <c r="F66" s="28">
        <f t="shared" si="20"/>
        <v>962.2716763005781</v>
      </c>
      <c r="G66" s="26">
        <f t="shared" si="20"/>
        <v>931.0057803468208</v>
      </c>
      <c r="H66" s="26">
        <f t="shared" si="20"/>
        <v>1089.612359550562</v>
      </c>
      <c r="I66" s="26">
        <f t="shared" si="20"/>
        <v>1354.6927374301677</v>
      </c>
      <c r="J66" s="26">
        <f t="shared" si="20"/>
        <v>312.9182389937107</v>
      </c>
      <c r="K66" s="29">
        <f t="shared" si="20"/>
        <v>304.13013698630135</v>
      </c>
      <c r="L66" s="27">
        <f t="shared" si="20"/>
        <v>275.421875</v>
      </c>
      <c r="M66" s="27">
        <f t="shared" si="20"/>
        <v>375.5208333333333</v>
      </c>
      <c r="N66" s="27">
        <f t="shared" si="20"/>
        <v>375.42105263157896</v>
      </c>
      <c r="O66" s="5">
        <f t="shared" si="20"/>
        <v>511.7090909090909</v>
      </c>
      <c r="P66" s="5">
        <f t="shared" si="20"/>
        <v>328.63235294117646</v>
      </c>
    </row>
    <row r="67" spans="1:16" ht="11.25">
      <c r="A67" s="25" t="s">
        <v>60</v>
      </c>
      <c r="C67" s="27">
        <f aca="true" t="shared" si="21" ref="C67:P67">C16/C64</f>
        <v>842.7785977859778</v>
      </c>
      <c r="D67" s="27">
        <f t="shared" si="21"/>
        <v>938.8362068965517</v>
      </c>
      <c r="E67" s="27">
        <f t="shared" si="21"/>
        <v>984.18</v>
      </c>
      <c r="F67" s="28">
        <f t="shared" si="21"/>
        <v>1172.1445086705203</v>
      </c>
      <c r="G67" s="26">
        <f t="shared" si="21"/>
        <v>955.9942196531792</v>
      </c>
      <c r="H67" s="26">
        <f t="shared" si="21"/>
        <v>1119.241573033708</v>
      </c>
      <c r="I67" s="26">
        <f t="shared" si="21"/>
        <v>1449.8379888268157</v>
      </c>
      <c r="J67" s="26">
        <f t="shared" si="21"/>
        <v>335.4339622641509</v>
      </c>
      <c r="K67" s="29">
        <f t="shared" si="21"/>
        <v>366.54794520547944</v>
      </c>
      <c r="L67" s="27">
        <f t="shared" si="21"/>
        <v>290.328125</v>
      </c>
      <c r="M67" s="27">
        <f t="shared" si="21"/>
        <v>341.34375</v>
      </c>
      <c r="N67" s="27">
        <f t="shared" si="21"/>
        <v>350.9736842105263</v>
      </c>
      <c r="O67" s="5">
        <f t="shared" si="21"/>
        <v>530.8909090909091</v>
      </c>
      <c r="P67" s="5">
        <f t="shared" si="21"/>
        <v>436.5882352941176</v>
      </c>
    </row>
    <row r="68" spans="1:16" ht="11.25">
      <c r="A68" s="11" t="s">
        <v>61</v>
      </c>
      <c r="B68" s="11"/>
      <c r="C68" s="31">
        <f aca="true" t="shared" si="22" ref="C68:P68">(C40/C64)</f>
        <v>37.859778597785976</v>
      </c>
      <c r="D68" s="31">
        <f t="shared" si="22"/>
        <v>27.92241379310345</v>
      </c>
      <c r="E68" s="31">
        <f t="shared" si="22"/>
        <v>15.205</v>
      </c>
      <c r="F68" s="32">
        <f t="shared" si="22"/>
        <v>8.54335260115607</v>
      </c>
      <c r="G68" s="31">
        <f t="shared" si="22"/>
        <v>29.84971098265896</v>
      </c>
      <c r="H68" s="31">
        <f t="shared" si="22"/>
        <v>14.264044943820224</v>
      </c>
      <c r="I68" s="31">
        <f t="shared" si="22"/>
        <v>11.687150837988828</v>
      </c>
      <c r="J68" s="31">
        <f t="shared" si="22"/>
        <v>5.327044025157233</v>
      </c>
      <c r="K68" s="33">
        <f t="shared" si="22"/>
        <v>6.965753424657534</v>
      </c>
      <c r="L68" s="31">
        <f t="shared" si="22"/>
        <v>5.671875</v>
      </c>
      <c r="M68" s="31">
        <f t="shared" si="22"/>
        <v>5.427083333333333</v>
      </c>
      <c r="N68" s="31">
        <f t="shared" si="22"/>
        <v>2.8947368421052633</v>
      </c>
      <c r="O68" s="6">
        <f t="shared" si="22"/>
        <v>10.345454545454546</v>
      </c>
      <c r="P68" s="6">
        <f t="shared" si="22"/>
        <v>4.8088235294117645</v>
      </c>
    </row>
    <row r="69" spans="1:16" ht="11.25">
      <c r="A69" s="19" t="s">
        <v>62</v>
      </c>
      <c r="E69" s="12"/>
      <c r="F69" s="34"/>
      <c r="K69" s="35"/>
      <c r="L69" s="12"/>
      <c r="M69" s="12"/>
      <c r="N69" s="12"/>
      <c r="O69" s="4"/>
      <c r="P69" s="4"/>
    </row>
    <row r="70" spans="1:16" ht="11.25">
      <c r="A70" s="25" t="s">
        <v>63</v>
      </c>
      <c r="C70" s="40">
        <f aca="true" t="shared" si="23" ref="C70:K70">(C10/G10)-1</f>
        <v>0.3009973547028266</v>
      </c>
      <c r="D70" s="40">
        <f t="shared" si="23"/>
        <v>0.1456041060236275</v>
      </c>
      <c r="E70" s="40">
        <f t="shared" si="23"/>
        <v>-0.1769409090038253</v>
      </c>
      <c r="F70" s="41">
        <f t="shared" si="23"/>
        <v>2.650826152489833</v>
      </c>
      <c r="G70" s="42">
        <f t="shared" si="23"/>
        <v>2.2304002597555934</v>
      </c>
      <c r="H70" s="42">
        <f t="shared" si="23"/>
        <v>3.8686812861457076</v>
      </c>
      <c r="I70" s="42">
        <f t="shared" si="23"/>
        <v>5.801563687696818</v>
      </c>
      <c r="J70" s="42">
        <f t="shared" si="23"/>
        <v>0.8351338656646312</v>
      </c>
      <c r="K70" s="43">
        <f t="shared" si="23"/>
        <v>0.6674705911305803</v>
      </c>
      <c r="L70" s="40">
        <f>(L10/37477)-1</f>
        <v>0.35184246337753833</v>
      </c>
      <c r="M70" s="40">
        <f>(M10/733338)-1</f>
        <v>-0.9372117631978706</v>
      </c>
      <c r="N70" s="40">
        <f>(N10/33849)-1</f>
        <v>0.1321457059292741</v>
      </c>
      <c r="O70" s="7">
        <f>(O10/P10)-1</f>
        <v>0.10229769687762791</v>
      </c>
      <c r="P70" s="7">
        <f>(P10/32079)-1</f>
        <v>0.1491318307927305</v>
      </c>
    </row>
    <row r="71" spans="1:16" ht="11.25">
      <c r="A71" s="25" t="s">
        <v>64</v>
      </c>
      <c r="C71" s="40">
        <f aca="true" t="shared" si="24" ref="C71:I73">(C12/G12)-1</f>
        <v>0.03279441712611142</v>
      </c>
      <c r="D71" s="40">
        <f t="shared" si="24"/>
        <v>-0.17211563745482106</v>
      </c>
      <c r="E71" s="40">
        <f t="shared" si="24"/>
        <v>-0.2107344632768362</v>
      </c>
      <c r="F71" s="41">
        <f t="shared" si="24"/>
        <v>2.34592193592475</v>
      </c>
      <c r="G71" s="42">
        <f t="shared" si="24"/>
        <v>2.6273224782109317</v>
      </c>
      <c r="H71" s="42">
        <f t="shared" si="24"/>
        <v>4.5015317410790265</v>
      </c>
      <c r="I71" s="42">
        <f t="shared" si="24"/>
        <v>5.726490984743412</v>
      </c>
      <c r="J71" s="42">
        <f>J12/N12-1</f>
        <v>0.7437964390859386</v>
      </c>
      <c r="K71" s="43">
        <f>(K12/O12)-1</f>
        <v>0.5777075042637863</v>
      </c>
      <c r="L71" s="40">
        <f>L12/26619-1</f>
        <v>0.3243923513279987</v>
      </c>
      <c r="M71" s="40">
        <f>M12/24508-1</f>
        <v>0.47094826179206795</v>
      </c>
      <c r="N71" s="40">
        <f>N12/22964-1</f>
        <v>0.24246646925622706</v>
      </c>
      <c r="O71" s="7">
        <f>(O12/P12)-1</f>
        <v>0.25940842171208667</v>
      </c>
      <c r="P71" s="7">
        <f>P12/20109-1</f>
        <v>0.11129345069371932</v>
      </c>
    </row>
    <row r="72" spans="2:16" ht="11.25">
      <c r="B72" s="25" t="s">
        <v>15</v>
      </c>
      <c r="C72" s="40">
        <f t="shared" si="24"/>
        <v>0.23376623376623384</v>
      </c>
      <c r="D72" s="40">
        <f t="shared" si="24"/>
        <v>0.10545311372137278</v>
      </c>
      <c r="E72" s="40">
        <f t="shared" si="24"/>
        <v>0.18425679409253037</v>
      </c>
      <c r="F72" s="41">
        <f t="shared" si="24"/>
        <v>0.15999373188121924</v>
      </c>
      <c r="G72" s="42">
        <f t="shared" si="24"/>
        <v>0.3624589565851879</v>
      </c>
      <c r="H72" s="42">
        <f t="shared" si="24"/>
        <v>0.4934827349645552</v>
      </c>
      <c r="I72" s="42">
        <f t="shared" si="24"/>
        <v>0.26767917980068145</v>
      </c>
      <c r="J72" s="42">
        <f>(J13/N13)-1</f>
        <v>0.6040636782572266</v>
      </c>
      <c r="K72" s="43">
        <f>(K13/O13)-1</f>
        <v>0.40091145278759743</v>
      </c>
      <c r="L72" s="40">
        <f>(L13/21964)-1</f>
        <v>0.3936896740120197</v>
      </c>
      <c r="M72" s="40">
        <f>(M13/19881)-1</f>
        <v>0.5797495095820129</v>
      </c>
      <c r="N72" s="40">
        <f>(N13/18233)-1</f>
        <v>0.30916470136565577</v>
      </c>
      <c r="O72" s="7">
        <f>(O13/P13)-1</f>
        <v>0.3271720083658358</v>
      </c>
      <c r="P72" s="7">
        <f>(P13/13565)-1</f>
        <v>0.3041651308514559</v>
      </c>
    </row>
    <row r="73" spans="2:16" ht="11.25">
      <c r="B73" s="25" t="s">
        <v>16</v>
      </c>
      <c r="C73" s="40">
        <f t="shared" si="24"/>
        <v>-0.044679569892473125</v>
      </c>
      <c r="D73" s="40">
        <f t="shared" si="24"/>
        <v>-0.25772090073802234</v>
      </c>
      <c r="E73" s="40">
        <f t="shared" si="24"/>
        <v>-0.2883271823008151</v>
      </c>
      <c r="F73" s="41">
        <f t="shared" si="24"/>
        <v>9.646140427387701</v>
      </c>
      <c r="G73" s="42">
        <f t="shared" si="24"/>
        <v>9.099035704977847</v>
      </c>
      <c r="H73" s="42">
        <f t="shared" si="24"/>
        <v>30.9263407279776</v>
      </c>
      <c r="I73" s="42">
        <f t="shared" si="24"/>
        <v>42.651949170794744</v>
      </c>
      <c r="J73" s="42">
        <f>(J14/N14)-1</f>
        <v>1.4592449592449594</v>
      </c>
      <c r="K73" s="43">
        <f>(K14/O14)-1</f>
        <v>1.467524115755627</v>
      </c>
      <c r="L73" s="40">
        <f>(L14/4655)-1</f>
        <v>-0.002577873254564933</v>
      </c>
      <c r="M73" s="40">
        <f>(M14/4627)-1</f>
        <v>0.0034579641236223146</v>
      </c>
      <c r="N73" s="40">
        <f>(N14/4731)-1</f>
        <v>-0.014584654407102104</v>
      </c>
      <c r="O73" s="7">
        <f>(O14/P14)-1</f>
        <v>0.0019329896907216426</v>
      </c>
      <c r="P73" s="7">
        <f>(P14/6544)-1</f>
        <v>-0.2885085574572127</v>
      </c>
    </row>
    <row r="74" spans="1:16" ht="11.25">
      <c r="A74" s="25" t="s">
        <v>65</v>
      </c>
      <c r="C74" s="40">
        <f aca="true" t="shared" si="25" ref="C74:K75">(C16/G16)-1</f>
        <v>0.3809610187015908</v>
      </c>
      <c r="D74" s="40">
        <f t="shared" si="25"/>
        <v>0.09328648512987825</v>
      </c>
      <c r="E74" s="40">
        <f t="shared" si="25"/>
        <v>-0.2415411469592056</v>
      </c>
      <c r="F74" s="41">
        <f t="shared" si="25"/>
        <v>2.8020962237972027</v>
      </c>
      <c r="G74" s="42">
        <f t="shared" si="25"/>
        <v>2.090421556170117</v>
      </c>
      <c r="H74" s="42">
        <f t="shared" si="25"/>
        <v>4.360987029761584</v>
      </c>
      <c r="I74" s="42">
        <f t="shared" si="25"/>
        <v>6.919710702188044</v>
      </c>
      <c r="J74" s="42">
        <f t="shared" si="25"/>
        <v>0.9994751443353078</v>
      </c>
      <c r="K74" s="43">
        <f t="shared" si="25"/>
        <v>0.8328024932360698</v>
      </c>
      <c r="L74" s="40">
        <f>L16/29432-1</f>
        <v>0.2626393041587387</v>
      </c>
      <c r="M74" s="40">
        <f>M16/26130-1</f>
        <v>0.2540757749712974</v>
      </c>
      <c r="N74" s="40">
        <f>N16/27098-1</f>
        <v>-0.015646911211159464</v>
      </c>
      <c r="O74" s="7">
        <f>(O16/P16)-1</f>
        <v>-0.016471301535974092</v>
      </c>
      <c r="P74" s="7">
        <f>P16/25523-1</f>
        <v>0.16318614582925206</v>
      </c>
    </row>
    <row r="75" spans="2:16" ht="11.25">
      <c r="B75" s="25" t="s">
        <v>15</v>
      </c>
      <c r="C75" s="40">
        <f t="shared" si="25"/>
        <v>0.8366512692637862</v>
      </c>
      <c r="D75" s="40">
        <f t="shared" si="25"/>
        <v>0.6794250742579191</v>
      </c>
      <c r="E75" s="40">
        <f t="shared" si="25"/>
        <v>1.03433676975945</v>
      </c>
      <c r="F75" s="41">
        <f t="shared" si="25"/>
        <v>1.2876103280200235</v>
      </c>
      <c r="G75" s="42">
        <f t="shared" si="25"/>
        <v>0.5948236521285613</v>
      </c>
      <c r="H75" s="42">
        <f t="shared" si="25"/>
        <v>0.9571222347938044</v>
      </c>
      <c r="I75" s="42">
        <f t="shared" si="25"/>
        <v>0.7062244945822975</v>
      </c>
      <c r="J75" s="42">
        <f t="shared" si="25"/>
        <v>0.7121912710048495</v>
      </c>
      <c r="K75" s="43">
        <f t="shared" si="25"/>
        <v>0.6928595077805981</v>
      </c>
      <c r="L75" s="40">
        <f>(L17/14491)-1</f>
        <v>0.7687530191153129</v>
      </c>
      <c r="M75" s="40">
        <f>(M17/14137)-1</f>
        <v>0.5080285774916884</v>
      </c>
      <c r="N75" s="40">
        <f>(N17/12813)-1</f>
        <v>0.3840630609537188</v>
      </c>
      <c r="O75" s="7">
        <f>(O17/P17)-1</f>
        <v>0.45628415300546443</v>
      </c>
      <c r="P75" s="7">
        <f>(P17/9340)-1</f>
        <v>0.3323340471092078</v>
      </c>
    </row>
    <row r="76" spans="2:16" ht="11.25">
      <c r="B76" s="25" t="s">
        <v>16</v>
      </c>
      <c r="C76" s="40">
        <f aca="true" t="shared" si="26" ref="C76:K76">(C21/G21)-1</f>
        <v>0.18952267282609636</v>
      </c>
      <c r="D76" s="40">
        <f t="shared" si="26"/>
        <v>-0.10396345144973229</v>
      </c>
      <c r="E76" s="40">
        <f t="shared" si="26"/>
        <v>-0.4495218377205955</v>
      </c>
      <c r="F76" s="41">
        <f t="shared" si="26"/>
        <v>4.804092294296909</v>
      </c>
      <c r="G76" s="42">
        <f t="shared" si="26"/>
        <v>4.099439530606883</v>
      </c>
      <c r="H76" s="42">
        <f t="shared" si="26"/>
        <v>11.927066169456248</v>
      </c>
      <c r="I76" s="42">
        <f t="shared" si="26"/>
        <v>18.48873362445415</v>
      </c>
      <c r="J76" s="42">
        <f t="shared" si="26"/>
        <v>1.569351230425056</v>
      </c>
      <c r="K76" s="43">
        <f t="shared" si="26"/>
        <v>1.0617495711835336</v>
      </c>
      <c r="L76" s="40">
        <f>(L21/14941)-1</f>
        <v>-0.22823104209892242</v>
      </c>
      <c r="M76" s="40">
        <f>(M21/11993)-1</f>
        <v>-0.0452764112398899</v>
      </c>
      <c r="N76" s="40">
        <f>(N21/14285)-1</f>
        <v>-0.3741687084354218</v>
      </c>
      <c r="O76" s="7">
        <f>(O21/P21)-1</f>
        <v>-0.35763163999072145</v>
      </c>
      <c r="P76" s="7">
        <f>(P21/16183)-1</f>
        <v>0.06556262744855723</v>
      </c>
    </row>
    <row r="77" spans="1:16" ht="11.25">
      <c r="A77" s="25" t="s">
        <v>66</v>
      </c>
      <c r="C77" s="40">
        <f aca="true" t="shared" si="27" ref="C77:K77">(C25/G25)-1</f>
        <v>0.14828441858475228</v>
      </c>
      <c r="D77" s="40">
        <f t="shared" si="27"/>
        <v>0.23690028081496095</v>
      </c>
      <c r="E77" s="40">
        <f t="shared" si="27"/>
        <v>1.9179459625422166</v>
      </c>
      <c r="F77" s="41">
        <f t="shared" si="27"/>
        <v>2.0998981497199116</v>
      </c>
      <c r="G77" s="42">
        <f t="shared" si="27"/>
        <v>2.1879432624113475</v>
      </c>
      <c r="H77" s="42">
        <f t="shared" si="27"/>
        <v>2.127242152466368</v>
      </c>
      <c r="I77" s="42">
        <f t="shared" si="27"/>
        <v>0.24099828538769286</v>
      </c>
      <c r="J77" s="42">
        <f t="shared" si="27"/>
        <v>0.15498480541123416</v>
      </c>
      <c r="K77" s="43">
        <f t="shared" si="27"/>
        <v>0.11315789473684212</v>
      </c>
      <c r="L77" s="40">
        <f>(L25/14941)-1</f>
        <v>-0.28358208955223885</v>
      </c>
      <c r="M77" s="40">
        <f>(M25/5821)-1</f>
        <v>0.8034701941247209</v>
      </c>
      <c r="N77" s="40">
        <f>(N25/5866)-1</f>
        <v>0.7390044323218548</v>
      </c>
      <c r="O77" s="7">
        <f>(O25/P25)-1</f>
        <v>0.7830716477170185</v>
      </c>
      <c r="P77" s="7">
        <f>(P25/5233)-1</f>
        <v>0.05885725205427095</v>
      </c>
    </row>
    <row r="78" spans="1:16" ht="11.25">
      <c r="A78" s="11" t="s">
        <v>67</v>
      </c>
      <c r="B78" s="11"/>
      <c r="C78" s="44">
        <f aca="true" t="shared" si="28" ref="C78:K78">(C40/G40)-1</f>
        <v>0.9868319132455461</v>
      </c>
      <c r="D78" s="44">
        <f t="shared" si="28"/>
        <v>1.5513981882630956</v>
      </c>
      <c r="E78" s="44">
        <f t="shared" si="28"/>
        <v>0.4536328871892925</v>
      </c>
      <c r="F78" s="45">
        <f t="shared" si="28"/>
        <v>0.744982290436836</v>
      </c>
      <c r="G78" s="44">
        <f t="shared" si="28"/>
        <v>4.077679449360866</v>
      </c>
      <c r="H78" s="44">
        <f t="shared" si="28"/>
        <v>2.497245179063361</v>
      </c>
      <c r="I78" s="44">
        <f t="shared" si="28"/>
        <v>3.0153550863723613</v>
      </c>
      <c r="J78" s="44">
        <f t="shared" si="28"/>
        <v>2.85</v>
      </c>
      <c r="K78" s="46">
        <f t="shared" si="28"/>
        <v>0.7873462214411249</v>
      </c>
      <c r="L78" s="44">
        <f>(L40/414)-1</f>
        <v>0.7536231884057971</v>
      </c>
      <c r="M78" s="44">
        <f>(M40/287)-1</f>
        <v>0.8153310104529616</v>
      </c>
      <c r="N78" s="44">
        <f>(N40/129)-1</f>
        <v>0.7054263565891472</v>
      </c>
      <c r="O78" s="8">
        <f>(O40/P40)-1</f>
        <v>0.7400611620795108</v>
      </c>
      <c r="P78" s="8">
        <f>(P40/315)-1</f>
        <v>0.03809523809523818</v>
      </c>
    </row>
    <row r="79" spans="15:16" ht="11.25">
      <c r="O79" s="4"/>
      <c r="P79" s="4"/>
    </row>
    <row r="80" spans="15:16" ht="11.25">
      <c r="O80" s="4"/>
      <c r="P80" s="4"/>
    </row>
    <row r="81" spans="15:16" ht="11.25">
      <c r="O81" s="4"/>
      <c r="P81" s="4"/>
    </row>
    <row r="82" spans="15:16" ht="11.25">
      <c r="O82" s="4"/>
      <c r="P82" s="4"/>
    </row>
    <row r="83" spans="15:16" ht="11.25">
      <c r="O83" s="4"/>
      <c r="P83" s="4"/>
    </row>
    <row r="84" spans="15:16" ht="11.25">
      <c r="O84" s="4"/>
      <c r="P84" s="4"/>
    </row>
    <row r="85" spans="15:16" ht="11.25">
      <c r="O85" s="4"/>
      <c r="P85" s="4"/>
    </row>
    <row r="86" spans="15:16" ht="11.25">
      <c r="O86" s="4"/>
      <c r="P86" s="4"/>
    </row>
    <row r="87" spans="15:16" ht="11.25">
      <c r="O87" s="4"/>
      <c r="P87" s="4"/>
    </row>
    <row r="88" spans="15:16" ht="11.25">
      <c r="O88" s="4"/>
      <c r="P88" s="4"/>
    </row>
    <row r="89" spans="15:16" ht="11.25">
      <c r="O89" s="4"/>
      <c r="P89" s="4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TERAN, JANINA</cp:lastModifiedBy>
  <dcterms:created xsi:type="dcterms:W3CDTF">2003-04-11T18:12:09Z</dcterms:created>
  <dcterms:modified xsi:type="dcterms:W3CDTF">2017-06-16T16:12:13Z</dcterms:modified>
  <cp:category/>
  <cp:version/>
  <cp:contentType/>
  <cp:contentStatus/>
</cp:coreProperties>
</file>