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hina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<sst xmlns="http://schemas.openxmlformats.org/spreadsheetml/2006/main" count="89" uniqueCount="68">
  <si>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CUADRO No. 18-39</t>
  </si>
  <si>
    <t>BANK OF CHINA</t>
  </si>
  <si>
    <t>ESTADISTICA FINANCIERA. TRIMESTRES  2000, 2001 Y 2002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</si>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</sst>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_(* #,##0.0000_);_(* \(#,##0.0000\);_(* &quot;-&quot;??_);_(@_)"/>
    <numFmt numFmtId="199" formatCode="0.00000"/>
    <numFmt numFmtId="200" formatCode="0.0000"/>
    <numFmt numFmtId="201" formatCode="0.000"/>
    <numFmt numFmtId="202" formatCode="0.0"/>
    <numFmt numFmtId="203" formatCode="#,##0.0"/>
  </numFmts>
  <fonts count="40">
    <font>
      <sz val="10"/>
      <name val="Arial"/>
      <family val="0"/>
    </font>
    <font>
      <b/>
      <sz val="7"/>
      <name val="Arial Narrow"/>
      <family val="2"/>
    </font>
    <font>
      <sz val="7"/>
      <name val="Arial"/>
      <family val="0"/>
    </font>
    <font>
      <sz val="7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195" fontId="1" fillId="0" borderId="0" xfId="46" applyNumberFormat="1" applyFont="1" applyAlignment="1">
      <alignment/>
    </xf>
    <xf numFmtId="0" fontId="3" fillId="0" borderId="0" xfId="0" applyFont="1" applyAlignment="1">
      <alignment/>
    </xf>
    <xf numFmtId="195" fontId="3" fillId="0" borderId="0" xfId="46" applyNumberFormat="1" applyFont="1" applyAlignment="1">
      <alignment/>
    </xf>
    <xf numFmtId="195" fontId="3" fillId="0" borderId="10" xfId="46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0" xfId="52" applyNumberFormat="1" applyFont="1" applyBorder="1" applyAlignment="1">
      <alignment/>
    </xf>
    <xf numFmtId="197" fontId="3" fillId="0" borderId="0" xfId="52" applyNumberFormat="1" applyFont="1" applyAlignment="1">
      <alignment/>
    </xf>
    <xf numFmtId="197" fontId="3" fillId="0" borderId="10" xfId="52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195" fontId="5" fillId="0" borderId="0" xfId="46" applyNumberFormat="1" applyFont="1" applyAlignment="1">
      <alignment/>
    </xf>
    <xf numFmtId="195" fontId="5" fillId="0" borderId="16" xfId="46" applyNumberFormat="1" applyFont="1" applyBorder="1" applyAlignment="1">
      <alignment/>
    </xf>
    <xf numFmtId="195" fontId="5" fillId="0" borderId="0" xfId="46" applyNumberFormat="1" applyFont="1" applyBorder="1" applyAlignment="1">
      <alignment/>
    </xf>
    <xf numFmtId="0" fontId="4" fillId="0" borderId="0" xfId="0" applyFont="1" applyAlignment="1">
      <alignment/>
    </xf>
    <xf numFmtId="195" fontId="4" fillId="0" borderId="0" xfId="46" applyNumberFormat="1" applyFont="1" applyAlignment="1">
      <alignment/>
    </xf>
    <xf numFmtId="195" fontId="4" fillId="0" borderId="0" xfId="46" applyNumberFormat="1" applyFont="1" applyBorder="1" applyAlignment="1">
      <alignment/>
    </xf>
    <xf numFmtId="195" fontId="4" fillId="0" borderId="15" xfId="46" applyNumberFormat="1" applyFont="1" applyBorder="1" applyAlignment="1">
      <alignment/>
    </xf>
    <xf numFmtId="195" fontId="4" fillId="0" borderId="16" xfId="46" applyNumberFormat="1" applyFont="1" applyBorder="1" applyAlignment="1">
      <alignment/>
    </xf>
    <xf numFmtId="195" fontId="4" fillId="0" borderId="10" xfId="46" applyNumberFormat="1" applyFont="1" applyBorder="1" applyAlignment="1">
      <alignment/>
    </xf>
    <xf numFmtId="195" fontId="4" fillId="0" borderId="13" xfId="46" applyNumberFormat="1" applyFont="1" applyBorder="1" applyAlignment="1">
      <alignment/>
    </xf>
    <xf numFmtId="195" fontId="4" fillId="0" borderId="14" xfId="46" applyNumberFormat="1" applyFont="1" applyBorder="1" applyAlignment="1">
      <alignment/>
    </xf>
    <xf numFmtId="0" fontId="4" fillId="0" borderId="15" xfId="0" applyFont="1" applyBorder="1" applyAlignment="1">
      <alignment/>
    </xf>
    <xf numFmtId="195" fontId="4" fillId="0" borderId="15" xfId="0" applyNumberFormat="1" applyFont="1" applyBorder="1" applyAlignment="1">
      <alignment/>
    </xf>
    <xf numFmtId="195" fontId="4" fillId="0" borderId="0" xfId="0" applyNumberFormat="1" applyFont="1" applyAlignment="1">
      <alignment/>
    </xf>
    <xf numFmtId="3" fontId="4" fillId="0" borderId="0" xfId="46" applyNumberFormat="1" applyFont="1" applyAlignment="1">
      <alignment/>
    </xf>
    <xf numFmtId="3" fontId="4" fillId="0" borderId="16" xfId="46" applyNumberFormat="1" applyFont="1" applyBorder="1" applyAlignment="1">
      <alignment/>
    </xf>
    <xf numFmtId="3" fontId="4" fillId="0" borderId="0" xfId="46" applyNumberFormat="1" applyFont="1" applyBorder="1" applyAlignment="1">
      <alignment/>
    </xf>
    <xf numFmtId="3" fontId="4" fillId="0" borderId="0" xfId="0" applyNumberFormat="1" applyFont="1" applyAlignment="1">
      <alignment/>
    </xf>
    <xf numFmtId="195" fontId="4" fillId="0" borderId="13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46" applyNumberFormat="1" applyFont="1" applyBorder="1" applyAlignment="1">
      <alignment/>
    </xf>
    <xf numFmtId="3" fontId="4" fillId="0" borderId="14" xfId="46" applyNumberFormat="1" applyFont="1" applyBorder="1" applyAlignment="1">
      <alignment/>
    </xf>
    <xf numFmtId="10" fontId="4" fillId="0" borderId="0" xfId="52" applyNumberFormat="1" applyFont="1" applyBorder="1" applyAlignment="1">
      <alignment/>
    </xf>
    <xf numFmtId="10" fontId="4" fillId="0" borderId="15" xfId="52" applyNumberFormat="1" applyFont="1" applyBorder="1" applyAlignment="1">
      <alignment/>
    </xf>
    <xf numFmtId="10" fontId="4" fillId="0" borderId="0" xfId="52" applyNumberFormat="1" applyFont="1" applyAlignment="1">
      <alignment/>
    </xf>
    <xf numFmtId="10" fontId="4" fillId="0" borderId="16" xfId="52" applyNumberFormat="1" applyFont="1" applyBorder="1" applyAlignment="1">
      <alignment/>
    </xf>
    <xf numFmtId="10" fontId="4" fillId="0" borderId="10" xfId="52" applyNumberFormat="1" applyFont="1" applyBorder="1" applyAlignment="1">
      <alignment/>
    </xf>
    <xf numFmtId="10" fontId="4" fillId="0" borderId="13" xfId="52" applyNumberFormat="1" applyFont="1" applyBorder="1" applyAlignment="1">
      <alignment/>
    </xf>
    <xf numFmtId="10" fontId="4" fillId="0" borderId="14" xfId="52" applyNumberFormat="1" applyFont="1" applyBorder="1" applyAlignment="1">
      <alignment/>
    </xf>
    <xf numFmtId="0" fontId="4" fillId="0" borderId="16" xfId="0" applyFont="1" applyBorder="1" applyAlignment="1">
      <alignment/>
    </xf>
    <xf numFmtId="197" fontId="4" fillId="0" borderId="0" xfId="52" applyNumberFormat="1" applyFont="1" applyAlignment="1">
      <alignment/>
    </xf>
    <xf numFmtId="197" fontId="4" fillId="0" borderId="16" xfId="52" applyNumberFormat="1" applyFont="1" applyBorder="1" applyAlignment="1">
      <alignment/>
    </xf>
    <xf numFmtId="197" fontId="4" fillId="0" borderId="0" xfId="52" applyNumberFormat="1" applyFont="1" applyBorder="1" applyAlignment="1">
      <alignment/>
    </xf>
    <xf numFmtId="197" fontId="4" fillId="0" borderId="15" xfId="52" applyNumberFormat="1" applyFont="1" applyBorder="1" applyAlignment="1">
      <alignment/>
    </xf>
    <xf numFmtId="197" fontId="4" fillId="0" borderId="10" xfId="52" applyNumberFormat="1" applyFont="1" applyBorder="1" applyAlignment="1">
      <alignment/>
    </xf>
    <xf numFmtId="197" fontId="4" fillId="0" borderId="13" xfId="52" applyNumberFormat="1" applyFont="1" applyBorder="1" applyAlignment="1">
      <alignment/>
    </xf>
    <xf numFmtId="197" fontId="4" fillId="0" borderId="14" xfId="52" applyNumberFormat="1" applyFont="1" applyBorder="1" applyAlignment="1">
      <alignment/>
    </xf>
    <xf numFmtId="10" fontId="4" fillId="0" borderId="0" xfId="52" applyNumberFormat="1" applyFont="1" applyFill="1" applyBorder="1" applyAlignment="1">
      <alignment/>
    </xf>
    <xf numFmtId="10" fontId="4" fillId="0" borderId="16" xfId="52" applyNumberFormat="1" applyFont="1" applyFill="1" applyBorder="1" applyAlignment="1">
      <alignment/>
    </xf>
    <xf numFmtId="10" fontId="4" fillId="0" borderId="10" xfId="52" applyNumberFormat="1" applyFont="1" applyFill="1" applyBorder="1" applyAlignment="1">
      <alignment/>
    </xf>
    <xf numFmtId="10" fontId="4" fillId="0" borderId="14" xfId="52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3" sqref="D13"/>
    </sheetView>
  </sheetViews>
  <sheetFormatPr defaultColWidth="11.421875" defaultRowHeight="12.75"/>
  <cols>
    <col min="1" max="1" width="2.421875" style="26" customWidth="1"/>
    <col min="2" max="2" width="28.8515625" style="26" customWidth="1"/>
    <col min="3" max="3" width="7.8515625" style="26" customWidth="1"/>
    <col min="4" max="4" width="8.421875" style="26" customWidth="1"/>
    <col min="5" max="5" width="7.7109375" style="26" customWidth="1"/>
    <col min="6" max="6" width="7.140625" style="26" customWidth="1"/>
    <col min="7" max="7" width="7.421875" style="26" customWidth="1"/>
    <col min="8" max="8" width="8.28125" style="26" customWidth="1"/>
    <col min="9" max="9" width="7.28125" style="26" customWidth="1"/>
    <col min="10" max="10" width="7.8515625" style="26" customWidth="1"/>
    <col min="11" max="11" width="7.421875" style="26" customWidth="1"/>
    <col min="12" max="12" width="8.421875" style="26" customWidth="1"/>
    <col min="13" max="13" width="6.8515625" style="26" customWidth="1"/>
    <col min="14" max="14" width="7.8515625" style="26" customWidth="1"/>
    <col min="15" max="15" width="5.7109375" style="1" hidden="1" customWidth="1"/>
    <col min="16" max="16" width="6.421875" style="1" hidden="1" customWidth="1"/>
    <col min="17" max="16384" width="11.421875" style="1" customWidth="1"/>
  </cols>
  <sheetData>
    <row r="1" spans="2:16" ht="11.25">
      <c r="B1" s="65"/>
      <c r="C1" s="65"/>
      <c r="D1" s="65"/>
      <c r="E1" s="65"/>
      <c r="F1" s="65"/>
      <c r="G1" s="65"/>
      <c r="H1" s="65" t="s">
        <v>0</v>
      </c>
      <c r="I1" s="65"/>
      <c r="J1" s="65"/>
      <c r="K1" s="65"/>
      <c r="L1" s="65"/>
      <c r="M1" s="65"/>
      <c r="N1" s="65"/>
      <c r="O1" s="65"/>
      <c r="P1" s="65"/>
    </row>
    <row r="2" spans="2:16" ht="11.25">
      <c r="B2" s="65"/>
      <c r="C2" s="65"/>
      <c r="D2" s="65"/>
      <c r="E2" s="65"/>
      <c r="F2" s="65"/>
      <c r="G2" s="65"/>
      <c r="H2" s="65" t="s">
        <v>1</v>
      </c>
      <c r="I2" s="65"/>
      <c r="J2" s="65"/>
      <c r="K2" s="65"/>
      <c r="L2" s="65"/>
      <c r="M2" s="65"/>
      <c r="N2" s="65"/>
      <c r="O2" s="65"/>
      <c r="P2" s="65"/>
    </row>
    <row r="3" spans="2:16" ht="11.25">
      <c r="B3" s="65"/>
      <c r="C3" s="65"/>
      <c r="D3" s="65"/>
      <c r="E3" s="65"/>
      <c r="F3" s="65"/>
      <c r="G3" s="65"/>
      <c r="H3" s="65" t="s">
        <v>2</v>
      </c>
      <c r="I3" s="65"/>
      <c r="J3" s="65"/>
      <c r="K3" s="65"/>
      <c r="L3" s="65"/>
      <c r="M3" s="65"/>
      <c r="N3" s="65"/>
      <c r="O3" s="65"/>
      <c r="P3" s="65"/>
    </row>
    <row r="4" spans="1:16" ht="11.25">
      <c r="A4" s="1"/>
      <c r="B4" s="64"/>
      <c r="C4" s="64"/>
      <c r="D4" s="64"/>
      <c r="E4" s="64"/>
      <c r="F4" s="64"/>
      <c r="G4" s="64"/>
      <c r="H4" s="64" t="s">
        <v>3</v>
      </c>
      <c r="I4" s="64"/>
      <c r="J4" s="64"/>
      <c r="K4" s="64"/>
      <c r="L4" s="64"/>
      <c r="M4" s="64"/>
      <c r="N4" s="64"/>
      <c r="O4" s="64"/>
      <c r="P4" s="64"/>
    </row>
    <row r="5" spans="1:16" ht="11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ht="11.25">
      <c r="A6" s="12"/>
      <c r="B6" s="12"/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2"/>
      <c r="P6" s="2"/>
    </row>
    <row r="7" spans="1:16" ht="11.25">
      <c r="A7" s="14"/>
      <c r="B7" s="14"/>
      <c r="C7" s="66">
        <v>2002</v>
      </c>
      <c r="D7" s="66"/>
      <c r="E7" s="66"/>
      <c r="F7" s="68"/>
      <c r="G7" s="66">
        <v>2001</v>
      </c>
      <c r="H7" s="66"/>
      <c r="I7" s="66"/>
      <c r="J7" s="66"/>
      <c r="K7" s="66">
        <v>2000</v>
      </c>
      <c r="L7" s="66"/>
      <c r="M7" s="66"/>
      <c r="N7" s="66"/>
      <c r="O7" s="67" t="s">
        <v>4</v>
      </c>
      <c r="P7" s="67"/>
    </row>
    <row r="8" spans="1:16" ht="11.25">
      <c r="A8" s="15"/>
      <c r="B8" s="15"/>
      <c r="C8" s="16" t="s">
        <v>5</v>
      </c>
      <c r="D8" s="15" t="s">
        <v>6</v>
      </c>
      <c r="E8" s="17" t="s">
        <v>7</v>
      </c>
      <c r="F8" s="18" t="s">
        <v>8</v>
      </c>
      <c r="G8" s="16" t="s">
        <v>5</v>
      </c>
      <c r="H8" s="15" t="s">
        <v>6</v>
      </c>
      <c r="I8" s="15" t="s">
        <v>7</v>
      </c>
      <c r="J8" s="15" t="s">
        <v>8</v>
      </c>
      <c r="K8" s="19" t="s">
        <v>5</v>
      </c>
      <c r="L8" s="15" t="s">
        <v>6</v>
      </c>
      <c r="M8" s="15" t="s">
        <v>7</v>
      </c>
      <c r="N8" s="16" t="s">
        <v>8</v>
      </c>
      <c r="O8" s="3" t="s">
        <v>9</v>
      </c>
      <c r="P8" s="3" t="s">
        <v>10</v>
      </c>
    </row>
    <row r="9" spans="1:16" ht="11.25">
      <c r="A9" s="20" t="s">
        <v>11</v>
      </c>
      <c r="B9" s="20"/>
      <c r="C9" s="20"/>
      <c r="D9" s="20"/>
      <c r="E9" s="21"/>
      <c r="F9" s="22"/>
      <c r="G9" s="20"/>
      <c r="H9" s="20"/>
      <c r="I9" s="20"/>
      <c r="J9" s="23"/>
      <c r="K9" s="24"/>
      <c r="L9" s="25"/>
      <c r="M9" s="25"/>
      <c r="N9" s="25"/>
      <c r="O9" s="4"/>
      <c r="P9" s="4"/>
    </row>
    <row r="10" spans="1:16" ht="11.25">
      <c r="A10" s="26" t="s">
        <v>12</v>
      </c>
      <c r="C10" s="27">
        <v>40739</v>
      </c>
      <c r="D10" s="27">
        <v>35583</v>
      </c>
      <c r="E10" s="28">
        <v>34145</v>
      </c>
      <c r="F10" s="29">
        <v>84805</v>
      </c>
      <c r="G10" s="27">
        <v>85570</v>
      </c>
      <c r="H10" s="27">
        <v>85141</v>
      </c>
      <c r="I10" s="27">
        <v>85749</v>
      </c>
      <c r="J10" s="27">
        <v>85947</v>
      </c>
      <c r="K10" s="30">
        <v>82975</v>
      </c>
      <c r="L10" s="28">
        <v>79599</v>
      </c>
      <c r="M10" s="28">
        <v>48393</v>
      </c>
      <c r="N10" s="28">
        <v>51021</v>
      </c>
      <c r="O10" s="6">
        <v>58901</v>
      </c>
      <c r="P10" s="6">
        <v>68708</v>
      </c>
    </row>
    <row r="11" spans="1:16" ht="11.25">
      <c r="A11" s="26" t="s">
        <v>13</v>
      </c>
      <c r="C11" s="27">
        <v>5528</v>
      </c>
      <c r="D11" s="27">
        <v>7506</v>
      </c>
      <c r="E11" s="28">
        <v>13809</v>
      </c>
      <c r="F11" s="29">
        <v>70058</v>
      </c>
      <c r="G11" s="27">
        <v>63298</v>
      </c>
      <c r="H11" s="27">
        <v>62262</v>
      </c>
      <c r="I11" s="27">
        <v>58035</v>
      </c>
      <c r="J11" s="27">
        <v>53858</v>
      </c>
      <c r="K11" s="30">
        <v>54982</v>
      </c>
      <c r="L11" s="28">
        <v>46284</v>
      </c>
      <c r="M11" s="28">
        <v>16539</v>
      </c>
      <c r="N11" s="28">
        <v>18884</v>
      </c>
      <c r="O11" s="6">
        <v>26467</v>
      </c>
      <c r="P11" s="6">
        <v>52631</v>
      </c>
    </row>
    <row r="12" spans="1:16" ht="11.25">
      <c r="A12" s="26" t="s">
        <v>14</v>
      </c>
      <c r="C12" s="28">
        <f aca="true" t="shared" si="0" ref="C12:P12">C13+C14</f>
        <v>18760</v>
      </c>
      <c r="D12" s="28">
        <f t="shared" si="0"/>
        <v>13527</v>
      </c>
      <c r="E12" s="28">
        <f t="shared" si="0"/>
        <v>6726</v>
      </c>
      <c r="F12" s="29">
        <f t="shared" si="0"/>
        <v>5974</v>
      </c>
      <c r="G12" s="27">
        <f t="shared" si="0"/>
        <v>10272</v>
      </c>
      <c r="H12" s="27">
        <f t="shared" si="0"/>
        <v>10884</v>
      </c>
      <c r="I12" s="27">
        <f t="shared" si="0"/>
        <v>10054</v>
      </c>
      <c r="J12" s="27">
        <f t="shared" si="0"/>
        <v>12617</v>
      </c>
      <c r="K12" s="30">
        <f t="shared" si="0"/>
        <v>14237</v>
      </c>
      <c r="L12" s="28">
        <f t="shared" si="0"/>
        <v>15066</v>
      </c>
      <c r="M12" s="28">
        <f t="shared" si="0"/>
        <v>14047</v>
      </c>
      <c r="N12" s="28">
        <f t="shared" si="0"/>
        <v>14487</v>
      </c>
      <c r="O12" s="6">
        <f t="shared" si="0"/>
        <v>14405</v>
      </c>
      <c r="P12" s="6">
        <f t="shared" si="0"/>
        <v>9387</v>
      </c>
    </row>
    <row r="13" spans="2:16" ht="11.25">
      <c r="B13" s="26" t="s">
        <v>15</v>
      </c>
      <c r="C13" s="27">
        <v>15512</v>
      </c>
      <c r="D13" s="27">
        <v>10231</v>
      </c>
      <c r="E13" s="28">
        <v>6457</v>
      </c>
      <c r="F13" s="29">
        <v>5705</v>
      </c>
      <c r="G13" s="27">
        <v>5593</v>
      </c>
      <c r="H13" s="27">
        <v>5855</v>
      </c>
      <c r="I13" s="27">
        <v>4775</v>
      </c>
      <c r="J13" s="27">
        <v>3588</v>
      </c>
      <c r="K13" s="30">
        <v>4967</v>
      </c>
      <c r="L13" s="28">
        <v>5665</v>
      </c>
      <c r="M13" s="28">
        <v>4579</v>
      </c>
      <c r="N13" s="28">
        <v>5107</v>
      </c>
      <c r="O13" s="6">
        <v>5304</v>
      </c>
      <c r="P13" s="6">
        <v>3702</v>
      </c>
    </row>
    <row r="14" spans="2:16" ht="11.25">
      <c r="B14" s="26" t="s">
        <v>16</v>
      </c>
      <c r="C14" s="27">
        <v>3248</v>
      </c>
      <c r="D14" s="27">
        <v>3296</v>
      </c>
      <c r="E14" s="28">
        <v>269</v>
      </c>
      <c r="F14" s="29">
        <v>269</v>
      </c>
      <c r="G14" s="27">
        <v>4679</v>
      </c>
      <c r="H14" s="27">
        <v>5029</v>
      </c>
      <c r="I14" s="27">
        <v>5279</v>
      </c>
      <c r="J14" s="27">
        <v>9029</v>
      </c>
      <c r="K14" s="30">
        <v>9270</v>
      </c>
      <c r="L14" s="28">
        <v>9401</v>
      </c>
      <c r="M14" s="28">
        <v>9468</v>
      </c>
      <c r="N14" s="28">
        <v>9380</v>
      </c>
      <c r="O14" s="6">
        <v>9101</v>
      </c>
      <c r="P14" s="6">
        <v>5685</v>
      </c>
    </row>
    <row r="15" spans="1:16" ht="11.25">
      <c r="A15" s="26" t="s">
        <v>17</v>
      </c>
      <c r="C15" s="27">
        <v>14784</v>
      </c>
      <c r="D15" s="27">
        <v>12910</v>
      </c>
      <c r="E15" s="28">
        <v>11958</v>
      </c>
      <c r="F15" s="29">
        <v>7006</v>
      </c>
      <c r="G15" s="27">
        <v>9974</v>
      </c>
      <c r="H15" s="27">
        <v>10008</v>
      </c>
      <c r="I15" s="27">
        <v>15119</v>
      </c>
      <c r="J15" s="27">
        <v>17167</v>
      </c>
      <c r="K15" s="30">
        <v>10608</v>
      </c>
      <c r="L15" s="28">
        <v>15637</v>
      </c>
      <c r="M15" s="28">
        <v>15302</v>
      </c>
      <c r="N15" s="28">
        <v>15354</v>
      </c>
      <c r="O15" s="6">
        <v>15462</v>
      </c>
      <c r="P15" s="6">
        <v>4305</v>
      </c>
    </row>
    <row r="16" spans="1:16" ht="11.25">
      <c r="A16" s="26" t="s">
        <v>18</v>
      </c>
      <c r="C16" s="28">
        <f aca="true" t="shared" si="1" ref="C16:P16">C17+C21</f>
        <v>30319</v>
      </c>
      <c r="D16" s="28">
        <f t="shared" si="1"/>
        <v>25080</v>
      </c>
      <c r="E16" s="28">
        <f t="shared" si="1"/>
        <v>24889</v>
      </c>
      <c r="F16" s="29">
        <f t="shared" si="1"/>
        <v>75496</v>
      </c>
      <c r="G16" s="27">
        <f t="shared" si="1"/>
        <v>76221</v>
      </c>
      <c r="H16" s="27">
        <f t="shared" si="1"/>
        <v>75675</v>
      </c>
      <c r="I16" s="27">
        <f t="shared" si="1"/>
        <v>77254</v>
      </c>
      <c r="J16" s="27">
        <f t="shared" si="1"/>
        <v>76953</v>
      </c>
      <c r="K16" s="30">
        <f t="shared" si="1"/>
        <v>73670</v>
      </c>
      <c r="L16" s="28">
        <f t="shared" si="1"/>
        <v>72178</v>
      </c>
      <c r="M16" s="28">
        <f t="shared" si="1"/>
        <v>41377</v>
      </c>
      <c r="N16" s="28">
        <f t="shared" si="1"/>
        <v>44123</v>
      </c>
      <c r="O16" s="6">
        <f t="shared" si="1"/>
        <v>52039</v>
      </c>
      <c r="P16" s="6">
        <f t="shared" si="1"/>
        <v>63642</v>
      </c>
    </row>
    <row r="17" spans="2:16" ht="11.25">
      <c r="B17" s="26" t="s">
        <v>15</v>
      </c>
      <c r="C17" s="28">
        <f aca="true" t="shared" si="2" ref="C17:P17">SUM(C18:C20)</f>
        <v>18334</v>
      </c>
      <c r="D17" s="28">
        <f t="shared" si="2"/>
        <v>16803</v>
      </c>
      <c r="E17" s="28">
        <f t="shared" si="2"/>
        <v>16500</v>
      </c>
      <c r="F17" s="29">
        <f t="shared" si="2"/>
        <v>15538</v>
      </c>
      <c r="G17" s="27">
        <f t="shared" si="2"/>
        <v>14391</v>
      </c>
      <c r="H17" s="27">
        <f t="shared" si="2"/>
        <v>13613</v>
      </c>
      <c r="I17" s="27">
        <f t="shared" si="2"/>
        <v>12798</v>
      </c>
      <c r="J17" s="27">
        <f t="shared" si="2"/>
        <v>12598</v>
      </c>
      <c r="K17" s="30">
        <f t="shared" si="2"/>
        <v>14378</v>
      </c>
      <c r="L17" s="28">
        <f t="shared" si="2"/>
        <v>15092</v>
      </c>
      <c r="M17" s="28">
        <f t="shared" si="2"/>
        <v>15886</v>
      </c>
      <c r="N17" s="28">
        <f t="shared" si="2"/>
        <v>17392</v>
      </c>
      <c r="O17" s="6">
        <f t="shared" si="2"/>
        <v>15872</v>
      </c>
      <c r="P17" s="6">
        <f t="shared" si="2"/>
        <v>12271</v>
      </c>
    </row>
    <row r="18" spans="2:16" ht="11.25">
      <c r="B18" s="26" t="s">
        <v>19</v>
      </c>
      <c r="C18" s="27">
        <v>0</v>
      </c>
      <c r="D18" s="27">
        <v>0</v>
      </c>
      <c r="E18" s="28">
        <v>0</v>
      </c>
      <c r="F18" s="29">
        <v>0</v>
      </c>
      <c r="G18" s="27">
        <v>0</v>
      </c>
      <c r="H18" s="27">
        <v>0</v>
      </c>
      <c r="I18" s="27">
        <v>0</v>
      </c>
      <c r="J18" s="27">
        <v>0</v>
      </c>
      <c r="K18" s="30">
        <v>0</v>
      </c>
      <c r="L18" s="28">
        <v>0</v>
      </c>
      <c r="M18" s="28">
        <v>0</v>
      </c>
      <c r="N18" s="28">
        <v>0</v>
      </c>
      <c r="O18" s="6">
        <v>0</v>
      </c>
      <c r="P18" s="6">
        <v>0</v>
      </c>
    </row>
    <row r="19" spans="2:16" ht="11.25">
      <c r="B19" s="26" t="s">
        <v>20</v>
      </c>
      <c r="C19" s="27">
        <v>18334</v>
      </c>
      <c r="D19" s="27">
        <v>16803</v>
      </c>
      <c r="E19" s="28">
        <v>16500</v>
      </c>
      <c r="F19" s="29">
        <f>740+14798</f>
        <v>15538</v>
      </c>
      <c r="G19" s="27">
        <f>466+13925</f>
        <v>14391</v>
      </c>
      <c r="H19" s="27">
        <v>13613</v>
      </c>
      <c r="I19" s="27">
        <v>12798</v>
      </c>
      <c r="J19" s="27">
        <v>12598</v>
      </c>
      <c r="K19" s="30">
        <v>14378</v>
      </c>
      <c r="L19" s="28">
        <v>15092</v>
      </c>
      <c r="M19" s="28">
        <v>15886</v>
      </c>
      <c r="N19" s="28">
        <v>17392</v>
      </c>
      <c r="O19" s="6">
        <v>15872</v>
      </c>
      <c r="P19" s="6">
        <v>12271</v>
      </c>
    </row>
    <row r="20" spans="2:16" ht="11.25">
      <c r="B20" s="26" t="s">
        <v>21</v>
      </c>
      <c r="C20" s="27">
        <v>0</v>
      </c>
      <c r="D20" s="27">
        <v>0</v>
      </c>
      <c r="E20" s="28">
        <v>0</v>
      </c>
      <c r="F20" s="29">
        <v>0</v>
      </c>
      <c r="G20" s="27">
        <v>0</v>
      </c>
      <c r="H20" s="27">
        <v>0</v>
      </c>
      <c r="I20" s="27">
        <v>0</v>
      </c>
      <c r="J20" s="27">
        <v>0</v>
      </c>
      <c r="K20" s="30">
        <v>0</v>
      </c>
      <c r="L20" s="28">
        <v>0</v>
      </c>
      <c r="M20" s="28">
        <v>0</v>
      </c>
      <c r="N20" s="28">
        <v>0</v>
      </c>
      <c r="O20" s="6">
        <v>0</v>
      </c>
      <c r="P20" s="6">
        <v>0</v>
      </c>
    </row>
    <row r="21" spans="2:16" ht="11.25">
      <c r="B21" s="26" t="s">
        <v>16</v>
      </c>
      <c r="C21" s="28">
        <f>SUM(C22:C24)</f>
        <v>11985</v>
      </c>
      <c r="D21" s="28">
        <f aca="true" t="shared" si="3" ref="D21:P21">SUM(D23:D24)</f>
        <v>8277</v>
      </c>
      <c r="E21" s="28">
        <f t="shared" si="3"/>
        <v>8389</v>
      </c>
      <c r="F21" s="29">
        <f t="shared" si="3"/>
        <v>59958</v>
      </c>
      <c r="G21" s="27">
        <f t="shared" si="3"/>
        <v>61830</v>
      </c>
      <c r="H21" s="27">
        <f t="shared" si="3"/>
        <v>62062</v>
      </c>
      <c r="I21" s="27">
        <f t="shared" si="3"/>
        <v>64456</v>
      </c>
      <c r="J21" s="27">
        <f t="shared" si="3"/>
        <v>64355</v>
      </c>
      <c r="K21" s="30">
        <f t="shared" si="3"/>
        <v>59292</v>
      </c>
      <c r="L21" s="28">
        <f t="shared" si="3"/>
        <v>57086</v>
      </c>
      <c r="M21" s="28">
        <f t="shared" si="3"/>
        <v>25491</v>
      </c>
      <c r="N21" s="28">
        <f t="shared" si="3"/>
        <v>26731</v>
      </c>
      <c r="O21" s="6">
        <f t="shared" si="3"/>
        <v>36167</v>
      </c>
      <c r="P21" s="6">
        <f t="shared" si="3"/>
        <v>51371</v>
      </c>
    </row>
    <row r="22" spans="2:16" ht="11.25">
      <c r="B22" s="26" t="s">
        <v>19</v>
      </c>
      <c r="C22" s="28">
        <v>0</v>
      </c>
      <c r="D22" s="28">
        <v>0</v>
      </c>
      <c r="E22" s="28">
        <v>0</v>
      </c>
      <c r="F22" s="29">
        <v>0</v>
      </c>
      <c r="G22" s="27">
        <v>0</v>
      </c>
      <c r="H22" s="27">
        <v>0</v>
      </c>
      <c r="I22" s="27">
        <v>0</v>
      </c>
      <c r="J22" s="27">
        <v>0</v>
      </c>
      <c r="K22" s="30">
        <v>0</v>
      </c>
      <c r="L22" s="28">
        <v>0</v>
      </c>
      <c r="M22" s="28">
        <v>0</v>
      </c>
      <c r="N22" s="28">
        <v>0</v>
      </c>
      <c r="O22" s="6"/>
      <c r="P22" s="6"/>
    </row>
    <row r="23" spans="2:16" ht="11.25">
      <c r="B23" s="26" t="s">
        <v>20</v>
      </c>
      <c r="C23" s="27">
        <v>3728</v>
      </c>
      <c r="D23" s="27">
        <v>3931</v>
      </c>
      <c r="E23" s="28">
        <v>3971</v>
      </c>
      <c r="F23" s="29">
        <v>51403</v>
      </c>
      <c r="G23" s="27">
        <f>13+50688</f>
        <v>50701</v>
      </c>
      <c r="H23" s="27">
        <v>51949</v>
      </c>
      <c r="I23" s="27">
        <v>48098</v>
      </c>
      <c r="J23" s="27">
        <v>43281</v>
      </c>
      <c r="K23" s="30">
        <v>38967</v>
      </c>
      <c r="L23" s="28">
        <v>37788</v>
      </c>
      <c r="M23" s="28">
        <v>6975</v>
      </c>
      <c r="N23" s="28">
        <v>6957</v>
      </c>
      <c r="O23" s="6">
        <v>7904</v>
      </c>
      <c r="P23" s="6">
        <v>13006</v>
      </c>
    </row>
    <row r="24" spans="2:16" ht="11.25">
      <c r="B24" s="26" t="s">
        <v>21</v>
      </c>
      <c r="C24" s="27">
        <v>8257</v>
      </c>
      <c r="D24" s="27">
        <v>4346</v>
      </c>
      <c r="E24" s="28">
        <v>4418</v>
      </c>
      <c r="F24" s="29">
        <f>7355+1200</f>
        <v>8555</v>
      </c>
      <c r="G24" s="27">
        <f>9929+1200</f>
        <v>11129</v>
      </c>
      <c r="H24" s="27">
        <v>10113</v>
      </c>
      <c r="I24" s="27">
        <v>16358</v>
      </c>
      <c r="J24" s="27">
        <v>21074</v>
      </c>
      <c r="K24" s="30">
        <v>20325</v>
      </c>
      <c r="L24" s="28">
        <v>19298</v>
      </c>
      <c r="M24" s="28">
        <v>18516</v>
      </c>
      <c r="N24" s="28">
        <v>19774</v>
      </c>
      <c r="O24" s="6">
        <v>28263</v>
      </c>
      <c r="P24" s="6">
        <v>38365</v>
      </c>
    </row>
    <row r="25" spans="1:16" ht="11.25">
      <c r="A25" s="12" t="s">
        <v>22</v>
      </c>
      <c r="B25" s="12"/>
      <c r="C25" s="31">
        <v>8296</v>
      </c>
      <c r="D25" s="31">
        <v>8880</v>
      </c>
      <c r="E25" s="31">
        <v>7619</v>
      </c>
      <c r="F25" s="32">
        <v>8369</v>
      </c>
      <c r="G25" s="31">
        <v>8657</v>
      </c>
      <c r="H25" s="31">
        <v>8656</v>
      </c>
      <c r="I25" s="31">
        <v>7409</v>
      </c>
      <c r="J25" s="31">
        <v>7023</v>
      </c>
      <c r="K25" s="33">
        <v>7232</v>
      </c>
      <c r="L25" s="31">
        <v>6456</v>
      </c>
      <c r="M25" s="31">
        <v>6309</v>
      </c>
      <c r="N25" s="31">
        <v>6208</v>
      </c>
      <c r="O25" s="7">
        <v>6123</v>
      </c>
      <c r="P25" s="7">
        <v>4585</v>
      </c>
    </row>
    <row r="26" spans="1:16" ht="11.25">
      <c r="A26" s="20" t="s">
        <v>23</v>
      </c>
      <c r="D26" s="27"/>
      <c r="E26" s="28"/>
      <c r="F26" s="34"/>
      <c r="H26" s="27"/>
      <c r="J26" s="27"/>
      <c r="K26" s="30"/>
      <c r="L26" s="28"/>
      <c r="M26" s="28"/>
      <c r="N26" s="28"/>
      <c r="O26" s="6"/>
      <c r="P26" s="6"/>
    </row>
    <row r="27" spans="1:16" ht="11.25">
      <c r="A27" s="26" t="s">
        <v>12</v>
      </c>
      <c r="C27" s="28">
        <f aca="true" t="shared" si="4" ref="C27:J27">(C10+G10)/2</f>
        <v>63154.5</v>
      </c>
      <c r="D27" s="28">
        <f t="shared" si="4"/>
        <v>60362</v>
      </c>
      <c r="E27" s="28">
        <f t="shared" si="4"/>
        <v>59947</v>
      </c>
      <c r="F27" s="29">
        <f t="shared" si="4"/>
        <v>85376</v>
      </c>
      <c r="G27" s="27">
        <f t="shared" si="4"/>
        <v>84272.5</v>
      </c>
      <c r="H27" s="27">
        <f t="shared" si="4"/>
        <v>82370</v>
      </c>
      <c r="I27" s="27">
        <f t="shared" si="4"/>
        <v>67071</v>
      </c>
      <c r="J27" s="27">
        <f t="shared" si="4"/>
        <v>68484</v>
      </c>
      <c r="K27" s="30">
        <f>(K10+58901)/2</f>
        <v>70938</v>
      </c>
      <c r="L27" s="28">
        <f>(L10+60208)/2</f>
        <v>69903.5</v>
      </c>
      <c r="M27" s="28">
        <f>(M10+63929)/2</f>
        <v>56161</v>
      </c>
      <c r="N27" s="28">
        <f>(N10+94915)/2</f>
        <v>72968</v>
      </c>
      <c r="O27" s="6">
        <f>(O10+P10)/2</f>
        <v>63804.5</v>
      </c>
      <c r="P27" s="6">
        <f>(P10+204511)/2</f>
        <v>136609.5</v>
      </c>
    </row>
    <row r="28" spans="1:16" ht="11.25">
      <c r="A28" s="26" t="s">
        <v>24</v>
      </c>
      <c r="C28" s="28">
        <f aca="true" t="shared" si="5" ref="C28:P28">C29+C30</f>
        <v>26895</v>
      </c>
      <c r="D28" s="28">
        <f t="shared" si="5"/>
        <v>23664.5</v>
      </c>
      <c r="E28" s="28">
        <f t="shared" si="5"/>
        <v>21928.5</v>
      </c>
      <c r="F28" s="29">
        <f t="shared" si="5"/>
        <v>21382</v>
      </c>
      <c r="G28" s="27">
        <f t="shared" si="5"/>
        <v>22545.5</v>
      </c>
      <c r="H28" s="27">
        <f t="shared" si="5"/>
        <v>25797.5</v>
      </c>
      <c r="I28" s="27">
        <f t="shared" si="5"/>
        <v>27261</v>
      </c>
      <c r="J28" s="27">
        <f t="shared" si="5"/>
        <v>29812.5</v>
      </c>
      <c r="K28" s="30">
        <f t="shared" si="5"/>
        <v>27356</v>
      </c>
      <c r="L28" s="28">
        <f t="shared" si="5"/>
        <v>30618.5</v>
      </c>
      <c r="M28" s="28">
        <f t="shared" si="5"/>
        <v>27094.5</v>
      </c>
      <c r="N28" s="28">
        <f t="shared" si="5"/>
        <v>27547</v>
      </c>
      <c r="O28" s="6">
        <f t="shared" si="5"/>
        <v>21779.5</v>
      </c>
      <c r="P28" s="6">
        <f t="shared" si="5"/>
        <v>16414.5</v>
      </c>
    </row>
    <row r="29" spans="2:16" ht="11.25">
      <c r="B29" s="26" t="s">
        <v>14</v>
      </c>
      <c r="C29" s="28">
        <f aca="true" t="shared" si="6" ref="C29:K29">(C12+G12)/2</f>
        <v>14516</v>
      </c>
      <c r="D29" s="28">
        <f t="shared" si="6"/>
        <v>12205.5</v>
      </c>
      <c r="E29" s="28">
        <f t="shared" si="6"/>
        <v>8390</v>
      </c>
      <c r="F29" s="29">
        <f t="shared" si="6"/>
        <v>9295.5</v>
      </c>
      <c r="G29" s="27">
        <f t="shared" si="6"/>
        <v>12254.5</v>
      </c>
      <c r="H29" s="27">
        <f t="shared" si="6"/>
        <v>12975</v>
      </c>
      <c r="I29" s="27">
        <f t="shared" si="6"/>
        <v>12050.5</v>
      </c>
      <c r="J29" s="27">
        <f t="shared" si="6"/>
        <v>13552</v>
      </c>
      <c r="K29" s="30">
        <f t="shared" si="6"/>
        <v>14321</v>
      </c>
      <c r="L29" s="28">
        <f>(L12+13710)/2</f>
        <v>14388</v>
      </c>
      <c r="M29" s="28">
        <f>(M12+9449)/2</f>
        <v>11748</v>
      </c>
      <c r="N29" s="28">
        <f>(N12+9770)/2</f>
        <v>12128.5</v>
      </c>
      <c r="O29" s="6">
        <f>(O12+P12)/2</f>
        <v>11896</v>
      </c>
      <c r="P29" s="6">
        <f>(P12+10940)/2</f>
        <v>10163.5</v>
      </c>
    </row>
    <row r="30" spans="2:16" ht="11.25">
      <c r="B30" s="26" t="s">
        <v>17</v>
      </c>
      <c r="C30" s="28">
        <f aca="true" t="shared" si="7" ref="C30:K30">(C15+G15)/2</f>
        <v>12379</v>
      </c>
      <c r="D30" s="28">
        <f t="shared" si="7"/>
        <v>11459</v>
      </c>
      <c r="E30" s="28">
        <f t="shared" si="7"/>
        <v>13538.5</v>
      </c>
      <c r="F30" s="29">
        <f t="shared" si="7"/>
        <v>12086.5</v>
      </c>
      <c r="G30" s="27">
        <f t="shared" si="7"/>
        <v>10291</v>
      </c>
      <c r="H30" s="27">
        <f t="shared" si="7"/>
        <v>12822.5</v>
      </c>
      <c r="I30" s="27">
        <f t="shared" si="7"/>
        <v>15210.5</v>
      </c>
      <c r="J30" s="27">
        <f t="shared" si="7"/>
        <v>16260.5</v>
      </c>
      <c r="K30" s="30">
        <f t="shared" si="7"/>
        <v>13035</v>
      </c>
      <c r="L30" s="28">
        <f>(L15+16824)/2</f>
        <v>16230.5</v>
      </c>
      <c r="M30" s="28">
        <f>(M15+15391)/2</f>
        <v>15346.5</v>
      </c>
      <c r="N30" s="28">
        <f>(N15+15483)/2</f>
        <v>15418.5</v>
      </c>
      <c r="O30" s="6">
        <f>(O15+P15)/2</f>
        <v>9883.5</v>
      </c>
      <c r="P30" s="6">
        <f>(P15+8197)/2</f>
        <v>6251</v>
      </c>
    </row>
    <row r="31" spans="1:16" ht="11.25">
      <c r="A31" s="12" t="s">
        <v>22</v>
      </c>
      <c r="B31" s="12"/>
      <c r="C31" s="31">
        <f aca="true" t="shared" si="8" ref="C31:K31">(C25+G25)/2</f>
        <v>8476.5</v>
      </c>
      <c r="D31" s="31">
        <f t="shared" si="8"/>
        <v>8768</v>
      </c>
      <c r="E31" s="31">
        <f t="shared" si="8"/>
        <v>7514</v>
      </c>
      <c r="F31" s="32">
        <f t="shared" si="8"/>
        <v>7696</v>
      </c>
      <c r="G31" s="31">
        <f t="shared" si="8"/>
        <v>7944.5</v>
      </c>
      <c r="H31" s="31">
        <f t="shared" si="8"/>
        <v>7556</v>
      </c>
      <c r="I31" s="31">
        <f t="shared" si="8"/>
        <v>6859</v>
      </c>
      <c r="J31" s="31">
        <f t="shared" si="8"/>
        <v>6615.5</v>
      </c>
      <c r="K31" s="33">
        <f t="shared" si="8"/>
        <v>6677.5</v>
      </c>
      <c r="L31" s="31">
        <f>(L25+5999)/2</f>
        <v>6227.5</v>
      </c>
      <c r="M31" s="31">
        <f>(M25+5887)/2</f>
        <v>6098</v>
      </c>
      <c r="N31" s="31">
        <f>(N25+4567)/2</f>
        <v>5387.5</v>
      </c>
      <c r="O31" s="7">
        <f>(O25+P25)/2</f>
        <v>5354</v>
      </c>
      <c r="P31" s="7">
        <f>(P25+3029)/2</f>
        <v>3807</v>
      </c>
    </row>
    <row r="32" spans="1:16" ht="11.25">
      <c r="A32" s="20" t="s">
        <v>25</v>
      </c>
      <c r="E32" s="28"/>
      <c r="F32" s="34"/>
      <c r="H32" s="27"/>
      <c r="J32" s="27"/>
      <c r="K32" s="30"/>
      <c r="L32" s="28"/>
      <c r="M32" s="28"/>
      <c r="N32" s="28"/>
      <c r="O32" s="6"/>
      <c r="P32" s="6"/>
    </row>
    <row r="33" spans="1:16" ht="11.25">
      <c r="A33" s="26" t="s">
        <v>26</v>
      </c>
      <c r="C33" s="27">
        <v>1648</v>
      </c>
      <c r="D33" s="27">
        <v>1325</v>
      </c>
      <c r="E33" s="28">
        <v>993</v>
      </c>
      <c r="F33" s="35">
        <v>563</v>
      </c>
      <c r="G33" s="36">
        <v>3574</v>
      </c>
      <c r="H33" s="27">
        <f>I33+879</f>
        <v>2884</v>
      </c>
      <c r="I33" s="27">
        <f>J33+1044</f>
        <v>2005</v>
      </c>
      <c r="J33" s="27">
        <v>961</v>
      </c>
      <c r="K33" s="30">
        <f>1396+L33</f>
        <v>4302</v>
      </c>
      <c r="L33" s="28">
        <f>1125+M33</f>
        <v>2906</v>
      </c>
      <c r="M33" s="28">
        <f>845+N33</f>
        <v>1781</v>
      </c>
      <c r="N33" s="28">
        <v>936</v>
      </c>
      <c r="O33" s="6">
        <v>4335</v>
      </c>
      <c r="P33" s="6">
        <v>13983</v>
      </c>
    </row>
    <row r="34" spans="1:16" ht="11.25">
      <c r="A34" s="26" t="s">
        <v>27</v>
      </c>
      <c r="C34" s="27">
        <v>894</v>
      </c>
      <c r="D34" s="27">
        <v>773</v>
      </c>
      <c r="E34" s="28">
        <v>644</v>
      </c>
      <c r="F34" s="35">
        <v>388</v>
      </c>
      <c r="G34" s="36">
        <v>2934</v>
      </c>
      <c r="H34" s="27">
        <f>I34+676</f>
        <v>2447</v>
      </c>
      <c r="I34" s="27">
        <f>J34+803</f>
        <v>1771</v>
      </c>
      <c r="J34" s="27">
        <v>968</v>
      </c>
      <c r="K34" s="30">
        <f>1060+L34</f>
        <v>3070</v>
      </c>
      <c r="L34" s="28">
        <f>812+M34</f>
        <v>2010</v>
      </c>
      <c r="M34" s="28">
        <f>587+N34</f>
        <v>1198</v>
      </c>
      <c r="N34" s="28">
        <v>611</v>
      </c>
      <c r="O34" s="6">
        <v>3232</v>
      </c>
      <c r="P34" s="6">
        <v>12907</v>
      </c>
    </row>
    <row r="35" spans="1:16" ht="11.25">
      <c r="A35" s="26" t="s">
        <v>28</v>
      </c>
      <c r="C35" s="28">
        <f aca="true" t="shared" si="9" ref="C35:P35">C33-C34</f>
        <v>754</v>
      </c>
      <c r="D35" s="28">
        <f t="shared" si="9"/>
        <v>552</v>
      </c>
      <c r="E35" s="28">
        <f t="shared" si="9"/>
        <v>349</v>
      </c>
      <c r="F35" s="29">
        <f t="shared" si="9"/>
        <v>175</v>
      </c>
      <c r="G35" s="37">
        <f t="shared" si="9"/>
        <v>640</v>
      </c>
      <c r="H35" s="37">
        <f t="shared" si="9"/>
        <v>437</v>
      </c>
      <c r="I35" s="37">
        <f t="shared" si="9"/>
        <v>234</v>
      </c>
      <c r="J35" s="37">
        <f t="shared" si="9"/>
        <v>-7</v>
      </c>
      <c r="K35" s="38">
        <f t="shared" si="9"/>
        <v>1232</v>
      </c>
      <c r="L35" s="39">
        <f t="shared" si="9"/>
        <v>896</v>
      </c>
      <c r="M35" s="28">
        <f t="shared" si="9"/>
        <v>583</v>
      </c>
      <c r="N35" s="28">
        <f t="shared" si="9"/>
        <v>325</v>
      </c>
      <c r="O35" s="6">
        <f t="shared" si="9"/>
        <v>1103</v>
      </c>
      <c r="P35" s="6">
        <f t="shared" si="9"/>
        <v>1076</v>
      </c>
    </row>
    <row r="36" spans="1:16" ht="11.25">
      <c r="A36" s="26" t="s">
        <v>29</v>
      </c>
      <c r="C36" s="27">
        <v>243</v>
      </c>
      <c r="D36" s="27">
        <v>182</v>
      </c>
      <c r="E36" s="28">
        <v>120</v>
      </c>
      <c r="F36" s="35">
        <v>70</v>
      </c>
      <c r="G36" s="40">
        <v>222</v>
      </c>
      <c r="H36" s="37">
        <f>I36+57</f>
        <v>169</v>
      </c>
      <c r="I36" s="37">
        <f>J36+54</f>
        <v>112</v>
      </c>
      <c r="J36" s="37">
        <v>58</v>
      </c>
      <c r="K36" s="38">
        <f>52+L36</f>
        <v>215</v>
      </c>
      <c r="L36" s="39">
        <f>55+M36</f>
        <v>163</v>
      </c>
      <c r="M36" s="28">
        <f>53+N36</f>
        <v>108</v>
      </c>
      <c r="N36" s="28">
        <v>55</v>
      </c>
      <c r="O36" s="6">
        <v>218</v>
      </c>
      <c r="P36" s="6">
        <v>174</v>
      </c>
    </row>
    <row r="37" spans="1:16" ht="11.25">
      <c r="A37" s="26" t="s">
        <v>30</v>
      </c>
      <c r="C37" s="28">
        <f aca="true" t="shared" si="10" ref="C37:P37">C35+C36</f>
        <v>997</v>
      </c>
      <c r="D37" s="28">
        <f t="shared" si="10"/>
        <v>734</v>
      </c>
      <c r="E37" s="28">
        <f t="shared" si="10"/>
        <v>469</v>
      </c>
      <c r="F37" s="29">
        <f t="shared" si="10"/>
        <v>245</v>
      </c>
      <c r="G37" s="37">
        <f t="shared" si="10"/>
        <v>862</v>
      </c>
      <c r="H37" s="37">
        <f t="shared" si="10"/>
        <v>606</v>
      </c>
      <c r="I37" s="37">
        <f t="shared" si="10"/>
        <v>346</v>
      </c>
      <c r="J37" s="37">
        <f t="shared" si="10"/>
        <v>51</v>
      </c>
      <c r="K37" s="38">
        <f t="shared" si="10"/>
        <v>1447</v>
      </c>
      <c r="L37" s="39">
        <f t="shared" si="10"/>
        <v>1059</v>
      </c>
      <c r="M37" s="28">
        <f t="shared" si="10"/>
        <v>691</v>
      </c>
      <c r="N37" s="28">
        <f t="shared" si="10"/>
        <v>380</v>
      </c>
      <c r="O37" s="6">
        <f t="shared" si="10"/>
        <v>1321</v>
      </c>
      <c r="P37" s="6">
        <f t="shared" si="10"/>
        <v>1250</v>
      </c>
    </row>
    <row r="38" spans="1:16" ht="11.25">
      <c r="A38" s="26" t="s">
        <v>31</v>
      </c>
      <c r="C38" s="27">
        <v>1082</v>
      </c>
      <c r="D38" s="27">
        <v>747</v>
      </c>
      <c r="E38" s="28">
        <v>542</v>
      </c>
      <c r="F38" s="35">
        <v>308</v>
      </c>
      <c r="G38" s="40">
        <v>920</v>
      </c>
      <c r="H38" s="37">
        <f>I38+209</f>
        <v>664</v>
      </c>
      <c r="I38" s="37">
        <f>J38+195</f>
        <v>455</v>
      </c>
      <c r="J38" s="37">
        <v>260</v>
      </c>
      <c r="K38" s="38">
        <f>220+L38</f>
        <v>945</v>
      </c>
      <c r="L38" s="39">
        <f>219+M38</f>
        <v>725</v>
      </c>
      <c r="M38" s="28">
        <f>212+N38</f>
        <v>506</v>
      </c>
      <c r="N38" s="28">
        <v>294</v>
      </c>
      <c r="O38" s="6">
        <v>1028</v>
      </c>
      <c r="P38" s="6">
        <v>843</v>
      </c>
    </row>
    <row r="39" spans="1:16" ht="11.25">
      <c r="A39" s="26" t="s">
        <v>32</v>
      </c>
      <c r="C39" s="28">
        <f aca="true" t="shared" si="11" ref="C39:P39">C37-C38</f>
        <v>-85</v>
      </c>
      <c r="D39" s="28">
        <f t="shared" si="11"/>
        <v>-13</v>
      </c>
      <c r="E39" s="28">
        <f t="shared" si="11"/>
        <v>-73</v>
      </c>
      <c r="F39" s="29">
        <f t="shared" si="11"/>
        <v>-63</v>
      </c>
      <c r="G39" s="37">
        <f t="shared" si="11"/>
        <v>-58</v>
      </c>
      <c r="H39" s="37">
        <f t="shared" si="11"/>
        <v>-58</v>
      </c>
      <c r="I39" s="37">
        <f t="shared" si="11"/>
        <v>-109</v>
      </c>
      <c r="J39" s="37">
        <f t="shared" si="11"/>
        <v>-209</v>
      </c>
      <c r="K39" s="38">
        <f t="shared" si="11"/>
        <v>502</v>
      </c>
      <c r="L39" s="39">
        <f t="shared" si="11"/>
        <v>334</v>
      </c>
      <c r="M39" s="28">
        <f t="shared" si="11"/>
        <v>185</v>
      </c>
      <c r="N39" s="28">
        <f t="shared" si="11"/>
        <v>86</v>
      </c>
      <c r="O39" s="6">
        <f t="shared" si="11"/>
        <v>293</v>
      </c>
      <c r="P39" s="6">
        <f t="shared" si="11"/>
        <v>407</v>
      </c>
    </row>
    <row r="40" spans="1:16" ht="11.25">
      <c r="A40" s="12" t="s">
        <v>33</v>
      </c>
      <c r="B40" s="12"/>
      <c r="C40" s="31">
        <v>-1328</v>
      </c>
      <c r="D40" s="31">
        <v>-744</v>
      </c>
      <c r="E40" s="31">
        <v>-805</v>
      </c>
      <c r="F40" s="41">
        <v>-55</v>
      </c>
      <c r="G40" s="42">
        <v>225</v>
      </c>
      <c r="H40" s="43">
        <f>I40+48</f>
        <v>225</v>
      </c>
      <c r="I40" s="43">
        <f>J40+386</f>
        <v>177</v>
      </c>
      <c r="J40" s="43">
        <v>-209</v>
      </c>
      <c r="K40" s="44">
        <f>-475+L40</f>
        <v>-141</v>
      </c>
      <c r="L40" s="43">
        <f>149+M40</f>
        <v>334</v>
      </c>
      <c r="M40" s="31">
        <f>99+N40</f>
        <v>185</v>
      </c>
      <c r="N40" s="31">
        <v>86</v>
      </c>
      <c r="O40" s="7">
        <v>293</v>
      </c>
      <c r="P40" s="7">
        <v>306</v>
      </c>
    </row>
    <row r="41" spans="1:16" ht="11.25">
      <c r="A41" s="20" t="s">
        <v>34</v>
      </c>
      <c r="E41" s="28"/>
      <c r="F41" s="34"/>
      <c r="H41" s="27"/>
      <c r="I41" s="27"/>
      <c r="K41" s="30"/>
      <c r="L41" s="28"/>
      <c r="M41" s="28"/>
      <c r="N41" s="28"/>
      <c r="O41" s="6"/>
      <c r="P41" s="6"/>
    </row>
    <row r="42" spans="1:16" ht="11.25">
      <c r="A42" s="26" t="s">
        <v>35</v>
      </c>
      <c r="C42" s="27">
        <v>206</v>
      </c>
      <c r="D42" s="27">
        <v>221</v>
      </c>
      <c r="E42" s="28">
        <v>229</v>
      </c>
      <c r="F42" s="29">
        <v>241</v>
      </c>
      <c r="G42" s="26">
        <v>113</v>
      </c>
      <c r="H42" s="27">
        <v>114</v>
      </c>
      <c r="I42" s="27">
        <v>114</v>
      </c>
      <c r="J42" s="27">
        <v>3596</v>
      </c>
      <c r="K42" s="30">
        <v>97</v>
      </c>
      <c r="L42" s="28">
        <v>99</v>
      </c>
      <c r="M42" s="28">
        <v>100</v>
      </c>
      <c r="N42" s="28">
        <v>233</v>
      </c>
      <c r="O42" s="6">
        <v>264</v>
      </c>
      <c r="P42" s="6">
        <v>416</v>
      </c>
    </row>
    <row r="43" spans="1:16" ht="11.25">
      <c r="A43" s="26" t="s">
        <v>36</v>
      </c>
      <c r="C43" s="27">
        <v>1572</v>
      </c>
      <c r="D43" s="27">
        <v>1066</v>
      </c>
      <c r="E43" s="28">
        <v>1066</v>
      </c>
      <c r="F43" s="29">
        <v>326</v>
      </c>
      <c r="G43" s="26">
        <v>109</v>
      </c>
      <c r="H43" s="27">
        <v>109</v>
      </c>
      <c r="I43" s="27">
        <v>103</v>
      </c>
      <c r="J43" s="27">
        <v>12</v>
      </c>
      <c r="K43" s="30">
        <v>741</v>
      </c>
      <c r="L43" s="28">
        <v>98</v>
      </c>
      <c r="M43" s="28">
        <v>98</v>
      </c>
      <c r="N43" s="28">
        <v>98</v>
      </c>
      <c r="O43" s="6">
        <v>98</v>
      </c>
      <c r="P43" s="6">
        <v>101</v>
      </c>
    </row>
    <row r="44" spans="1:16" ht="11.25">
      <c r="A44" s="26" t="s">
        <v>37</v>
      </c>
      <c r="C44" s="45">
        <f aca="true" t="shared" si="12" ref="C44:P44">C42/C12</f>
        <v>0.010980810234541578</v>
      </c>
      <c r="D44" s="45">
        <f t="shared" si="12"/>
        <v>0.016337694980409552</v>
      </c>
      <c r="E44" s="45">
        <f t="shared" si="12"/>
        <v>0.03404698186143324</v>
      </c>
      <c r="F44" s="46">
        <f t="shared" si="12"/>
        <v>0.04034147974556411</v>
      </c>
      <c r="G44" s="47">
        <f t="shared" si="12"/>
        <v>0.011000778816199376</v>
      </c>
      <c r="H44" s="47">
        <f t="shared" si="12"/>
        <v>0.010474090407938258</v>
      </c>
      <c r="I44" s="47">
        <f t="shared" si="12"/>
        <v>0.01133877063855182</v>
      </c>
      <c r="J44" s="47">
        <f t="shared" si="12"/>
        <v>0.28501228501228504</v>
      </c>
      <c r="K44" s="48">
        <f t="shared" si="12"/>
        <v>0.0068132331249561</v>
      </c>
      <c r="L44" s="45">
        <f t="shared" si="12"/>
        <v>0.006571087216248507</v>
      </c>
      <c r="M44" s="45">
        <f t="shared" si="12"/>
        <v>0.007118957784580338</v>
      </c>
      <c r="N44" s="45">
        <f t="shared" si="12"/>
        <v>0.016083385103886242</v>
      </c>
      <c r="O44" s="8">
        <f t="shared" si="12"/>
        <v>0.01832696980215203</v>
      </c>
      <c r="P44" s="8">
        <f t="shared" si="12"/>
        <v>0.044316608074997335</v>
      </c>
    </row>
    <row r="45" spans="1:16" ht="11.25">
      <c r="A45" s="26" t="s">
        <v>38</v>
      </c>
      <c r="C45" s="45">
        <f aca="true" t="shared" si="13" ref="C45:P45">C43/C42</f>
        <v>7.631067961165049</v>
      </c>
      <c r="D45" s="45">
        <f t="shared" si="13"/>
        <v>4.823529411764706</v>
      </c>
      <c r="E45" s="45">
        <f t="shared" si="13"/>
        <v>4.655021834061135</v>
      </c>
      <c r="F45" s="46">
        <f t="shared" si="13"/>
        <v>1.3526970954356847</v>
      </c>
      <c r="G45" s="47">
        <f t="shared" si="13"/>
        <v>0.9646017699115044</v>
      </c>
      <c r="H45" s="47">
        <f t="shared" si="13"/>
        <v>0.956140350877193</v>
      </c>
      <c r="I45" s="47">
        <f t="shared" si="13"/>
        <v>0.9035087719298246</v>
      </c>
      <c r="J45" s="47">
        <f t="shared" si="13"/>
        <v>0.0033370411568409346</v>
      </c>
      <c r="K45" s="48">
        <f t="shared" si="13"/>
        <v>7.639175257731959</v>
      </c>
      <c r="L45" s="45">
        <f t="shared" si="13"/>
        <v>0.98989898989899</v>
      </c>
      <c r="M45" s="45">
        <f t="shared" si="13"/>
        <v>0.98</v>
      </c>
      <c r="N45" s="45">
        <f t="shared" si="13"/>
        <v>0.4206008583690987</v>
      </c>
      <c r="O45" s="8">
        <f t="shared" si="13"/>
        <v>0.3712121212121212</v>
      </c>
      <c r="P45" s="8">
        <f t="shared" si="13"/>
        <v>0.24278846153846154</v>
      </c>
    </row>
    <row r="46" spans="1:16" ht="11.25">
      <c r="A46" s="12" t="s">
        <v>39</v>
      </c>
      <c r="B46" s="12"/>
      <c r="C46" s="49">
        <f aca="true" t="shared" si="14" ref="C46:P46">C43/C12</f>
        <v>0.0837953091684435</v>
      </c>
      <c r="D46" s="49">
        <f t="shared" si="14"/>
        <v>0.07880535225844607</v>
      </c>
      <c r="E46" s="49">
        <f t="shared" si="14"/>
        <v>0.1584894439488552</v>
      </c>
      <c r="F46" s="50">
        <f t="shared" si="14"/>
        <v>0.05456980247740208</v>
      </c>
      <c r="G46" s="49">
        <f t="shared" si="14"/>
        <v>0.010611370716510903</v>
      </c>
      <c r="H46" s="49">
        <f t="shared" si="14"/>
        <v>0.010014700477765528</v>
      </c>
      <c r="I46" s="49">
        <f t="shared" si="14"/>
        <v>0.010244678734831907</v>
      </c>
      <c r="J46" s="49">
        <f t="shared" si="14"/>
        <v>0.0009510977252912737</v>
      </c>
      <c r="K46" s="51">
        <f t="shared" si="14"/>
        <v>0.052047481913324437</v>
      </c>
      <c r="L46" s="49">
        <f t="shared" si="14"/>
        <v>0.006504712597902562</v>
      </c>
      <c r="M46" s="49">
        <f t="shared" si="14"/>
        <v>0.006976578628888731</v>
      </c>
      <c r="N46" s="49">
        <f t="shared" si="14"/>
        <v>0.00676468558017533</v>
      </c>
      <c r="O46" s="9">
        <f t="shared" si="14"/>
        <v>0.006803193335647345</v>
      </c>
      <c r="P46" s="9">
        <f t="shared" si="14"/>
        <v>0.010759561095131565</v>
      </c>
    </row>
    <row r="47" spans="1:16" ht="11.25">
      <c r="A47" s="20" t="s">
        <v>40</v>
      </c>
      <c r="E47" s="13"/>
      <c r="F47" s="34"/>
      <c r="K47" s="52"/>
      <c r="L47" s="13"/>
      <c r="M47" s="13"/>
      <c r="N47" s="13"/>
      <c r="O47" s="5"/>
      <c r="P47" s="5"/>
    </row>
    <row r="48" spans="1:16" ht="11.25">
      <c r="A48" s="26" t="s">
        <v>41</v>
      </c>
      <c r="C48" s="45">
        <f aca="true" t="shared" si="15" ref="C48:P48">C25/(C12+C15)</f>
        <v>0.2473169568328166</v>
      </c>
      <c r="D48" s="45">
        <f t="shared" si="15"/>
        <v>0.3358928774066649</v>
      </c>
      <c r="E48" s="45">
        <f t="shared" si="15"/>
        <v>0.4077820595161636</v>
      </c>
      <c r="F48" s="46">
        <f t="shared" si="15"/>
        <v>0.6447611710323575</v>
      </c>
      <c r="G48" s="47">
        <f t="shared" si="15"/>
        <v>0.4275906351871975</v>
      </c>
      <c r="H48" s="47">
        <f t="shared" si="15"/>
        <v>0.41432127130001917</v>
      </c>
      <c r="I48" s="47">
        <f t="shared" si="15"/>
        <v>0.2943232828824534</v>
      </c>
      <c r="J48" s="47">
        <f t="shared" si="15"/>
        <v>0.23579774375503626</v>
      </c>
      <c r="K48" s="48">
        <f t="shared" si="15"/>
        <v>0.29108472529684043</v>
      </c>
      <c r="L48" s="45">
        <f t="shared" si="15"/>
        <v>0.2102726117968928</v>
      </c>
      <c r="M48" s="45">
        <f t="shared" si="15"/>
        <v>0.21496473474394356</v>
      </c>
      <c r="N48" s="45">
        <f t="shared" si="15"/>
        <v>0.20803592372909754</v>
      </c>
      <c r="O48" s="8">
        <f t="shared" si="15"/>
        <v>0.20500887266883183</v>
      </c>
      <c r="P48" s="8">
        <f t="shared" si="15"/>
        <v>0.33486707566462165</v>
      </c>
    </row>
    <row r="49" spans="1:16" ht="11.25">
      <c r="A49" s="12" t="s">
        <v>42</v>
      </c>
      <c r="B49" s="12"/>
      <c r="C49" s="49">
        <f>C25/C10</f>
        <v>0.20363779179655858</v>
      </c>
      <c r="D49" s="49">
        <f>D25/D10</f>
        <v>0.24955737290279065</v>
      </c>
      <c r="E49" s="49">
        <f>E25/E10</f>
        <v>0.22313662322448383</v>
      </c>
      <c r="F49" s="50">
        <f>F25/F12</f>
        <v>1.400903916973552</v>
      </c>
      <c r="G49" s="49">
        <f>G25/G12</f>
        <v>0.8427764797507789</v>
      </c>
      <c r="H49" s="49">
        <f aca="true" t="shared" si="16" ref="H49:P49">H25/H10</f>
        <v>0.10166664709129561</v>
      </c>
      <c r="I49" s="49">
        <f t="shared" si="16"/>
        <v>0.08640333998064118</v>
      </c>
      <c r="J49" s="49">
        <f t="shared" si="16"/>
        <v>0.08171314880100528</v>
      </c>
      <c r="K49" s="51">
        <f t="shared" si="16"/>
        <v>0.08715878276589334</v>
      </c>
      <c r="L49" s="49">
        <f t="shared" si="16"/>
        <v>0.08110654656465534</v>
      </c>
      <c r="M49" s="49">
        <f t="shared" si="16"/>
        <v>0.13037009484842849</v>
      </c>
      <c r="N49" s="49">
        <f t="shared" si="16"/>
        <v>0.12167538856549263</v>
      </c>
      <c r="O49" s="9">
        <f t="shared" si="16"/>
        <v>0.10395409246022988</v>
      </c>
      <c r="P49" s="9">
        <f t="shared" si="16"/>
        <v>0.06673167607847703</v>
      </c>
    </row>
    <row r="50" spans="1:16" ht="11.25">
      <c r="A50" s="20" t="s">
        <v>43</v>
      </c>
      <c r="E50" s="13"/>
      <c r="F50" s="34"/>
      <c r="J50" s="53"/>
      <c r="K50" s="54"/>
      <c r="L50" s="55"/>
      <c r="M50" s="55"/>
      <c r="N50" s="55"/>
      <c r="O50" s="10"/>
      <c r="P50" s="10"/>
    </row>
    <row r="51" spans="1:16" ht="11.25">
      <c r="A51" s="26" t="s">
        <v>44</v>
      </c>
      <c r="C51" s="55">
        <f aca="true" t="shared" si="17" ref="C51:P51">C11/C16</f>
        <v>0.182327913189749</v>
      </c>
      <c r="D51" s="55">
        <f t="shared" si="17"/>
        <v>0.2992822966507177</v>
      </c>
      <c r="E51" s="55">
        <f t="shared" si="17"/>
        <v>0.554823415966893</v>
      </c>
      <c r="F51" s="56">
        <f t="shared" si="17"/>
        <v>0.9279696937586097</v>
      </c>
      <c r="G51" s="53">
        <f t="shared" si="17"/>
        <v>0.8304535495467128</v>
      </c>
      <c r="H51" s="53">
        <f t="shared" si="17"/>
        <v>0.8227552031714569</v>
      </c>
      <c r="I51" s="53">
        <f t="shared" si="17"/>
        <v>0.7512232376317084</v>
      </c>
      <c r="J51" s="53">
        <f t="shared" si="17"/>
        <v>0.6998817460008057</v>
      </c>
      <c r="K51" s="54">
        <f t="shared" si="17"/>
        <v>0.7463282204425139</v>
      </c>
      <c r="L51" s="55">
        <f t="shared" si="17"/>
        <v>0.6412480257142066</v>
      </c>
      <c r="M51" s="55">
        <f t="shared" si="17"/>
        <v>0.39971481741063875</v>
      </c>
      <c r="N51" s="55">
        <f t="shared" si="17"/>
        <v>0.4279854044375949</v>
      </c>
      <c r="O51" s="10">
        <f t="shared" si="17"/>
        <v>0.5085993197409635</v>
      </c>
      <c r="P51" s="10">
        <f t="shared" si="17"/>
        <v>0.8269853241570032</v>
      </c>
    </row>
    <row r="52" spans="1:16" ht="11.25">
      <c r="A52" s="26" t="s">
        <v>45</v>
      </c>
      <c r="C52" s="55">
        <f aca="true" t="shared" si="18" ref="C52:P52">C11/C10</f>
        <v>0.13569307052210414</v>
      </c>
      <c r="D52" s="55">
        <f t="shared" si="18"/>
        <v>0.21094342804148047</v>
      </c>
      <c r="E52" s="55">
        <f t="shared" si="18"/>
        <v>0.4044223165910089</v>
      </c>
      <c r="F52" s="56">
        <f t="shared" si="18"/>
        <v>0.8261069512410825</v>
      </c>
      <c r="G52" s="53">
        <f t="shared" si="18"/>
        <v>0.7397218651396518</v>
      </c>
      <c r="H52" s="53">
        <f t="shared" si="18"/>
        <v>0.7312810514323299</v>
      </c>
      <c r="I52" s="53">
        <f t="shared" si="18"/>
        <v>0.6768008956372669</v>
      </c>
      <c r="J52" s="53">
        <f t="shared" si="18"/>
        <v>0.626642000302512</v>
      </c>
      <c r="K52" s="54">
        <f t="shared" si="18"/>
        <v>0.6626333232901477</v>
      </c>
      <c r="L52" s="55">
        <f t="shared" si="18"/>
        <v>0.5814645912637093</v>
      </c>
      <c r="M52" s="55">
        <f t="shared" si="18"/>
        <v>0.3417643047548199</v>
      </c>
      <c r="N52" s="55">
        <f t="shared" si="18"/>
        <v>0.37012210658356365</v>
      </c>
      <c r="O52" s="10">
        <f t="shared" si="18"/>
        <v>0.4493472097247925</v>
      </c>
      <c r="P52" s="10">
        <f t="shared" si="18"/>
        <v>0.7660097805204634</v>
      </c>
    </row>
    <row r="53" spans="1:16" ht="11.25">
      <c r="A53" s="12" t="s">
        <v>46</v>
      </c>
      <c r="B53" s="12"/>
      <c r="C53" s="57">
        <f aca="true" t="shared" si="19" ref="C53:P53">(C11+C15)/C16</f>
        <v>0.6699429400705827</v>
      </c>
      <c r="D53" s="57">
        <f t="shared" si="19"/>
        <v>0.8140350877192982</v>
      </c>
      <c r="E53" s="57">
        <f t="shared" si="19"/>
        <v>1.0352766282293382</v>
      </c>
      <c r="F53" s="58">
        <f t="shared" si="19"/>
        <v>1.0207693122814454</v>
      </c>
      <c r="G53" s="57">
        <f t="shared" si="19"/>
        <v>0.9613098752312355</v>
      </c>
      <c r="H53" s="57">
        <f t="shared" si="19"/>
        <v>0.9550049554013875</v>
      </c>
      <c r="I53" s="57">
        <f t="shared" si="19"/>
        <v>0.9469283143914878</v>
      </c>
      <c r="J53" s="57">
        <f t="shared" si="19"/>
        <v>0.922965966239133</v>
      </c>
      <c r="K53" s="59">
        <f t="shared" si="19"/>
        <v>0.8903217049002308</v>
      </c>
      <c r="L53" s="57">
        <f t="shared" si="19"/>
        <v>0.8578929867826761</v>
      </c>
      <c r="M53" s="57">
        <f t="shared" si="19"/>
        <v>0.7695337989704425</v>
      </c>
      <c r="N53" s="57">
        <f t="shared" si="19"/>
        <v>0.7759671826485053</v>
      </c>
      <c r="O53" s="11">
        <f t="shared" si="19"/>
        <v>0.8057226311035954</v>
      </c>
      <c r="P53" s="11">
        <f t="shared" si="19"/>
        <v>0.8946293328305207</v>
      </c>
    </row>
    <row r="54" spans="1:16" ht="11.25">
      <c r="A54" s="20" t="s">
        <v>47</v>
      </c>
      <c r="E54" s="13"/>
      <c r="F54" s="34"/>
      <c r="K54" s="52"/>
      <c r="L54" s="13"/>
      <c r="M54" s="13"/>
      <c r="N54" s="13"/>
      <c r="O54" s="5"/>
      <c r="P54" s="5"/>
    </row>
    <row r="55" spans="1:16" ht="11.25">
      <c r="A55" s="26" t="s">
        <v>48</v>
      </c>
      <c r="B55" s="13"/>
      <c r="C55" s="45">
        <f>(C40)/C28</f>
        <v>-0.04937720765941625</v>
      </c>
      <c r="D55" s="45">
        <f>(D40/0.75)/D28</f>
        <v>-0.04191933064294619</v>
      </c>
      <c r="E55" s="45">
        <f>(E40/0.5)/E28</f>
        <v>-0.07342043459424949</v>
      </c>
      <c r="F55" s="46">
        <f>((F40)/0.25)/F28</f>
        <v>-0.010289028154522496</v>
      </c>
      <c r="G55" s="60">
        <f>G40/G28</f>
        <v>0.009979818589075425</v>
      </c>
      <c r="H55" s="60">
        <f>(H40/0.75)/H28</f>
        <v>0.011629033821106697</v>
      </c>
      <c r="I55" s="47">
        <f>(I40/0.5)/I28</f>
        <v>0.012985583801034446</v>
      </c>
      <c r="J55" s="47">
        <f>((J40)/0.25)/J28</f>
        <v>-0.028041928721174003</v>
      </c>
      <c r="K55" s="61">
        <f>K40/K28</f>
        <v>-0.005154262319052493</v>
      </c>
      <c r="L55" s="60">
        <f>(L40/0.75)/L28</f>
        <v>0.014544583612304108</v>
      </c>
      <c r="M55" s="60">
        <f>(M40/0.5)/M28</f>
        <v>0.013655908025614054</v>
      </c>
      <c r="N55" s="45">
        <f>((N40)/0.25)/N28</f>
        <v>0.012487748212146514</v>
      </c>
      <c r="O55" s="8">
        <f>O40/O28</f>
        <v>0.013453017746045593</v>
      </c>
      <c r="P55" s="8">
        <f>P40/P28</f>
        <v>0.018642054281275702</v>
      </c>
    </row>
    <row r="56" spans="1:16" ht="11.25">
      <c r="A56" s="26" t="s">
        <v>49</v>
      </c>
      <c r="B56" s="13"/>
      <c r="C56" s="45">
        <f>(C40)/C27</f>
        <v>-0.02102779691075062</v>
      </c>
      <c r="D56" s="45">
        <f>(D40/0.75)/D27</f>
        <v>-0.016434180444650608</v>
      </c>
      <c r="E56" s="45">
        <f>(E40/0.5)/E27</f>
        <v>-0.026857057067075918</v>
      </c>
      <c r="F56" s="46">
        <f>((F40)/0.25)/F27</f>
        <v>-0.0025768365817091456</v>
      </c>
      <c r="G56" s="60">
        <f>G40/G27</f>
        <v>0.002669910113026195</v>
      </c>
      <c r="H56" s="60">
        <f>(H40/0.75)/H27</f>
        <v>0.0036421027072963456</v>
      </c>
      <c r="I56" s="47">
        <f>(I40/0.5)/I27</f>
        <v>0.005277988996734803</v>
      </c>
      <c r="J56" s="47">
        <f>((J40)/0.25)/J27</f>
        <v>-0.012207230886046376</v>
      </c>
      <c r="K56" s="61">
        <f>K40/K27</f>
        <v>-0.001987651188361668</v>
      </c>
      <c r="L56" s="60">
        <f>(L40/0.75)/L27</f>
        <v>0.006370687209271829</v>
      </c>
      <c r="M56" s="60">
        <f>(M40/0.5)/M27</f>
        <v>0.006588201777033884</v>
      </c>
      <c r="N56" s="45">
        <f>((N40)/0.25)/N27</f>
        <v>0.00471439535138691</v>
      </c>
      <c r="O56" s="8">
        <f>O40/O27</f>
        <v>0.004592152591118182</v>
      </c>
      <c r="P56" s="8">
        <f>P40/P27</f>
        <v>0.0022399613496865154</v>
      </c>
    </row>
    <row r="57" spans="1:16" ht="11.25">
      <c r="A57" s="26" t="s">
        <v>50</v>
      </c>
      <c r="B57" s="13"/>
      <c r="C57" s="45">
        <f>(C40)/C31</f>
        <v>-0.15666843626496785</v>
      </c>
      <c r="D57" s="45">
        <f>(D40/0.75)/D31</f>
        <v>-0.11313868613138686</v>
      </c>
      <c r="E57" s="45">
        <f>(E40/0.5)/E31</f>
        <v>-0.2142667021559755</v>
      </c>
      <c r="F57" s="46">
        <f>((F40)/0.25)/F31</f>
        <v>-0.028586278586278588</v>
      </c>
      <c r="G57" s="60">
        <f>+G40/G31</f>
        <v>0.028321480269368746</v>
      </c>
      <c r="H57" s="60">
        <f>(H40/0.75)/H31</f>
        <v>0.03970354685018528</v>
      </c>
      <c r="I57" s="47">
        <f>(I40/0.5)/I31</f>
        <v>0.05161102201487097</v>
      </c>
      <c r="J57" s="47">
        <f>((J40)/0.25)/J31</f>
        <v>-0.12636988889728668</v>
      </c>
      <c r="K57" s="61">
        <f>+K40/K31</f>
        <v>-0.02111568700861101</v>
      </c>
      <c r="L57" s="60">
        <f>(L40/0.75)/L31</f>
        <v>0.07151077211293991</v>
      </c>
      <c r="M57" s="60">
        <f>(M40/0.5)/M31</f>
        <v>0.06067563135454247</v>
      </c>
      <c r="N57" s="45">
        <f>((N40)/0.25)/N31</f>
        <v>0.06385150812064966</v>
      </c>
      <c r="O57" s="8">
        <f>O40/O31</f>
        <v>0.05472543892416885</v>
      </c>
      <c r="P57" s="8">
        <f>P40/P31</f>
        <v>0.08037825059101655</v>
      </c>
    </row>
    <row r="58" spans="1:16" ht="11.25">
      <c r="A58" s="26" t="s">
        <v>51</v>
      </c>
      <c r="B58" s="13"/>
      <c r="C58" s="45">
        <f>(C33)/C28</f>
        <v>0.061275329986986427</v>
      </c>
      <c r="D58" s="45">
        <f>(D33/0.75)/D28</f>
        <v>0.07465472191116089</v>
      </c>
      <c r="E58" s="45">
        <f>(E33/0.5)/E28</f>
        <v>0.09056707025104316</v>
      </c>
      <c r="F58" s="46">
        <f>((F33)/0.25)/F28</f>
        <v>0.10532223365447572</v>
      </c>
      <c r="G58" s="60">
        <f>G33/G28</f>
        <v>0.15852387394380255</v>
      </c>
      <c r="H58" s="60">
        <f>(H33/0.75)/H28</f>
        <v>0.14905837128920763</v>
      </c>
      <c r="I58" s="47">
        <f>(I33/0.5)/I28</f>
        <v>0.14709658486482521</v>
      </c>
      <c r="J58" s="47">
        <f>((J33)/0.25)/J28</f>
        <v>0.1289392033542977</v>
      </c>
      <c r="K58" s="61">
        <f>K33/K28</f>
        <v>0.1572598333089633</v>
      </c>
      <c r="L58" s="60">
        <f>(L33/0.75)/L28</f>
        <v>0.1265465867585501</v>
      </c>
      <c r="M58" s="60">
        <f>(M33/0.5)/M28</f>
        <v>0.1314657956411818</v>
      </c>
      <c r="N58" s="45">
        <f>((N33)/0.25)/N28</f>
        <v>0.13591316658801322</v>
      </c>
      <c r="O58" s="8">
        <f>O33/O28</f>
        <v>0.1990403820106063</v>
      </c>
      <c r="P58" s="8">
        <f>P33/P27</f>
        <v>0.1023574495185181</v>
      </c>
    </row>
    <row r="59" spans="1:16" ht="11.25">
      <c r="A59" s="26" t="s">
        <v>52</v>
      </c>
      <c r="B59" s="13"/>
      <c r="C59" s="45">
        <f>(C34)/C28</f>
        <v>0.033240379252649194</v>
      </c>
      <c r="D59" s="45">
        <f>(D34/0.75)/D28</f>
        <v>0.04355328304703952</v>
      </c>
      <c r="E59" s="45">
        <f>(E34/0.5)/E28</f>
        <v>0.05873634767539959</v>
      </c>
      <c r="F59" s="46">
        <f>((F34)/0.25)/F28</f>
        <v>0.07258441679917688</v>
      </c>
      <c r="G59" s="60">
        <f>G34/G28</f>
        <v>0.13013683440154356</v>
      </c>
      <c r="H59" s="60">
        <f>(H34/0.75)/H28</f>
        <v>0.12647220337888038</v>
      </c>
      <c r="I59" s="47">
        <f>(I34/0.5)/I28</f>
        <v>0.12992920289057627</v>
      </c>
      <c r="J59" s="47">
        <f>((J34)/0.25)/J28</f>
        <v>0.12987840670859538</v>
      </c>
      <c r="K59" s="61">
        <f>K34/K28</f>
        <v>0.11222400935809329</v>
      </c>
      <c r="L59" s="60">
        <f>(L34/0.75)/L28</f>
        <v>0.08752878161895586</v>
      </c>
      <c r="M59" s="60">
        <f>(M34/0.5)/M28</f>
        <v>0.08843123143073317</v>
      </c>
      <c r="N59" s="45">
        <f>((N34)/0.25)/N28</f>
        <v>0.08872109485606418</v>
      </c>
      <c r="O59" s="8">
        <f>O34/O28</f>
        <v>0.14839642783351317</v>
      </c>
      <c r="P59" s="8">
        <f>P34/P27</f>
        <v>0.09448098411896684</v>
      </c>
    </row>
    <row r="60" spans="1:16" ht="11.25">
      <c r="A60" s="26" t="s">
        <v>53</v>
      </c>
      <c r="B60" s="13"/>
      <c r="C60" s="45">
        <f>(C35)/C28</f>
        <v>0.028034950734337236</v>
      </c>
      <c r="D60" s="45">
        <f>(D35/0.75)/D28</f>
        <v>0.031101438864121363</v>
      </c>
      <c r="E60" s="45">
        <f>(E35/0.5)/E28</f>
        <v>0.031830722575643566</v>
      </c>
      <c r="F60" s="46">
        <f>((F35)/0.25)/F28</f>
        <v>0.03273781685529885</v>
      </c>
      <c r="G60" s="60">
        <f>G35/G28</f>
        <v>0.028387039542258987</v>
      </c>
      <c r="H60" s="60">
        <f>(H35/0.75)/H28</f>
        <v>0.022586167910327228</v>
      </c>
      <c r="I60" s="47">
        <f>(I35/0.5)/I28</f>
        <v>0.017167381974248927</v>
      </c>
      <c r="J60" s="47">
        <f>((J35)/0.25)/J28</f>
        <v>-0.0009392033542976939</v>
      </c>
      <c r="K60" s="61">
        <f>K35/K28</f>
        <v>0.04503582395087001</v>
      </c>
      <c r="L60" s="60">
        <f>(L35/0.75)/L28</f>
        <v>0.039017805139594255</v>
      </c>
      <c r="M60" s="60">
        <f>(M35/0.5)/M28</f>
        <v>0.043034564210448614</v>
      </c>
      <c r="N60" s="45">
        <f>((N35)/0.25)/N28</f>
        <v>0.04719207173194903</v>
      </c>
      <c r="O60" s="8">
        <f>O35/O28</f>
        <v>0.05064395417709314</v>
      </c>
      <c r="P60" s="8">
        <f>P35/P27</f>
        <v>0.007876465399551275</v>
      </c>
    </row>
    <row r="61" spans="1:16" ht="11.25">
      <c r="A61" s="26" t="s">
        <v>54</v>
      </c>
      <c r="B61" s="13"/>
      <c r="C61" s="45">
        <f>(C38)/(C37)</f>
        <v>1.0852557673019056</v>
      </c>
      <c r="D61" s="45">
        <f>(D38/0.75)/(D37/0.75)</f>
        <v>1.0177111716621254</v>
      </c>
      <c r="E61" s="45">
        <f>(E38/0.5)/(E37/0.5)</f>
        <v>1.1556503198294243</v>
      </c>
      <c r="F61" s="46">
        <f>(F38/0.25)/(F37/0.25)</f>
        <v>1.2571428571428571</v>
      </c>
      <c r="G61" s="60">
        <f>G38/G37</f>
        <v>1.0672853828306264</v>
      </c>
      <c r="H61" s="60">
        <f>(H38/0.75)/(H37/0.75)</f>
        <v>1.0957095709570956</v>
      </c>
      <c r="I61" s="47">
        <f>(I38/0.5)/(I37/0.5)</f>
        <v>1.3150289017341041</v>
      </c>
      <c r="J61" s="47">
        <f>(J38/0.25)/(J37/0.25)</f>
        <v>5.098039215686274</v>
      </c>
      <c r="K61" s="61">
        <f>K38/K37</f>
        <v>0.6530753282653766</v>
      </c>
      <c r="L61" s="60">
        <f>(L38/0.75)/(L37/0.75)</f>
        <v>0.6846081208687441</v>
      </c>
      <c r="M61" s="60">
        <f>(M38/0.5)/(M37/0.5)</f>
        <v>0.7322720694645442</v>
      </c>
      <c r="N61" s="45">
        <f>(N38/0.25)/(N37/0.25)</f>
        <v>0.7736842105263158</v>
      </c>
      <c r="O61" s="8">
        <f>O38/O37</f>
        <v>0.7781983345950038</v>
      </c>
      <c r="P61" s="8">
        <f>P38/P37</f>
        <v>0.6744</v>
      </c>
    </row>
    <row r="62" spans="1:16" ht="11.25">
      <c r="A62" s="12" t="s">
        <v>55</v>
      </c>
      <c r="B62" s="12"/>
      <c r="C62" s="49">
        <f>(C36)/C28</f>
        <v>0.009035136642498606</v>
      </c>
      <c r="D62" s="49">
        <f>(D36/0.75)/D28</f>
        <v>0.010254459915344362</v>
      </c>
      <c r="E62" s="49">
        <f>(E36/0.5)/E28</f>
        <v>0.010944661057527874</v>
      </c>
      <c r="F62" s="50">
        <f>(F36/0.25)/F28</f>
        <v>0.01309512674211954</v>
      </c>
      <c r="G62" s="62">
        <f>G36/G28</f>
        <v>0.009846754341221087</v>
      </c>
      <c r="H62" s="62">
        <f>(H36/0.75)/H28</f>
        <v>0.008734696514520142</v>
      </c>
      <c r="I62" s="49">
        <f>(I36/0.5)/I28</f>
        <v>0.008216866585965299</v>
      </c>
      <c r="J62" s="49">
        <f>(J36/0.25)/J28</f>
        <v>0.0077819706498951785</v>
      </c>
      <c r="K62" s="63">
        <f>K36/K28</f>
        <v>0.007859336160257347</v>
      </c>
      <c r="L62" s="62">
        <f>(L36/0.75)/L28</f>
        <v>0.00709810517606458</v>
      </c>
      <c r="M62" s="62">
        <f>(M36/0.5)/M28</f>
        <v>0.007972097658196313</v>
      </c>
      <c r="N62" s="49">
        <f>(N36/0.25)/N28</f>
        <v>0.007986350600791375</v>
      </c>
      <c r="O62" s="9">
        <f>O36/O28</f>
        <v>0.010009412520948599</v>
      </c>
      <c r="P62" s="9">
        <f>P36/P27</f>
        <v>0.001273703512566842</v>
      </c>
    </row>
    <row r="63" spans="1:16" ht="11.25">
      <c r="A63" s="20" t="s">
        <v>56</v>
      </c>
      <c r="E63" s="13"/>
      <c r="F63" s="34"/>
      <c r="K63" s="52"/>
      <c r="L63" s="13"/>
      <c r="M63" s="13"/>
      <c r="N63" s="13"/>
      <c r="O63" s="5"/>
      <c r="P63" s="5"/>
    </row>
    <row r="64" spans="1:16" ht="11.25">
      <c r="A64" s="26" t="s">
        <v>57</v>
      </c>
      <c r="C64" s="27">
        <v>17</v>
      </c>
      <c r="D64" s="27">
        <v>16</v>
      </c>
      <c r="E64" s="13">
        <v>18</v>
      </c>
      <c r="F64" s="34">
        <v>17</v>
      </c>
      <c r="G64" s="26">
        <v>11</v>
      </c>
      <c r="H64" s="27">
        <v>16</v>
      </c>
      <c r="I64" s="27">
        <v>16</v>
      </c>
      <c r="J64" s="27">
        <v>16</v>
      </c>
      <c r="K64" s="30">
        <v>17</v>
      </c>
      <c r="L64" s="28">
        <v>17</v>
      </c>
      <c r="M64" s="28">
        <v>17</v>
      </c>
      <c r="N64" s="28">
        <v>19</v>
      </c>
      <c r="O64" s="6">
        <v>18</v>
      </c>
      <c r="P64" s="6">
        <v>18</v>
      </c>
    </row>
    <row r="65" spans="1:16" ht="11.25">
      <c r="A65" s="26" t="s">
        <v>58</v>
      </c>
      <c r="C65" s="27">
        <v>1</v>
      </c>
      <c r="D65" s="27">
        <v>1</v>
      </c>
      <c r="E65" s="13">
        <v>1</v>
      </c>
      <c r="F65" s="34">
        <v>1</v>
      </c>
      <c r="G65" s="26">
        <v>1</v>
      </c>
      <c r="H65" s="27">
        <v>1</v>
      </c>
      <c r="I65" s="27">
        <v>1</v>
      </c>
      <c r="J65" s="27">
        <v>1</v>
      </c>
      <c r="K65" s="30">
        <v>1</v>
      </c>
      <c r="L65" s="28">
        <v>1</v>
      </c>
      <c r="M65" s="28">
        <v>1</v>
      </c>
      <c r="N65" s="28">
        <v>1</v>
      </c>
      <c r="O65" s="6">
        <v>1</v>
      </c>
      <c r="P65" s="6">
        <v>1</v>
      </c>
    </row>
    <row r="66" spans="1:16" ht="11.25">
      <c r="A66" s="26" t="s">
        <v>59</v>
      </c>
      <c r="C66" s="28">
        <f aca="true" t="shared" si="20" ref="C66:P66">C12/C64</f>
        <v>1103.5294117647059</v>
      </c>
      <c r="D66" s="28">
        <f t="shared" si="20"/>
        <v>845.4375</v>
      </c>
      <c r="E66" s="28">
        <f t="shared" si="20"/>
        <v>373.6666666666667</v>
      </c>
      <c r="F66" s="29">
        <f t="shared" si="20"/>
        <v>351.4117647058824</v>
      </c>
      <c r="G66" s="27">
        <f t="shared" si="20"/>
        <v>933.8181818181819</v>
      </c>
      <c r="H66" s="27">
        <f t="shared" si="20"/>
        <v>680.25</v>
      </c>
      <c r="I66" s="27">
        <f t="shared" si="20"/>
        <v>628.375</v>
      </c>
      <c r="J66" s="27">
        <f t="shared" si="20"/>
        <v>788.5625</v>
      </c>
      <c r="K66" s="30">
        <f t="shared" si="20"/>
        <v>837.4705882352941</v>
      </c>
      <c r="L66" s="28">
        <f t="shared" si="20"/>
        <v>886.2352941176471</v>
      </c>
      <c r="M66" s="28">
        <f t="shared" si="20"/>
        <v>826.2941176470588</v>
      </c>
      <c r="N66" s="28">
        <f t="shared" si="20"/>
        <v>762.4736842105264</v>
      </c>
      <c r="O66" s="6">
        <f t="shared" si="20"/>
        <v>800.2777777777778</v>
      </c>
      <c r="P66" s="6">
        <f t="shared" si="20"/>
        <v>521.5</v>
      </c>
    </row>
    <row r="67" spans="1:16" ht="11.25">
      <c r="A67" s="26" t="s">
        <v>60</v>
      </c>
      <c r="C67" s="28">
        <f aca="true" t="shared" si="21" ref="C67:P67">C16/C64</f>
        <v>1783.4705882352941</v>
      </c>
      <c r="D67" s="28">
        <f t="shared" si="21"/>
        <v>1567.5</v>
      </c>
      <c r="E67" s="28">
        <f t="shared" si="21"/>
        <v>1382.7222222222222</v>
      </c>
      <c r="F67" s="29">
        <f t="shared" si="21"/>
        <v>4440.941176470588</v>
      </c>
      <c r="G67" s="27">
        <f t="shared" si="21"/>
        <v>6929.181818181818</v>
      </c>
      <c r="H67" s="27">
        <f t="shared" si="21"/>
        <v>4729.6875</v>
      </c>
      <c r="I67" s="27">
        <f t="shared" si="21"/>
        <v>4828.375</v>
      </c>
      <c r="J67" s="27">
        <f t="shared" si="21"/>
        <v>4809.5625</v>
      </c>
      <c r="K67" s="30">
        <f t="shared" si="21"/>
        <v>4333.529411764706</v>
      </c>
      <c r="L67" s="28">
        <f t="shared" si="21"/>
        <v>4245.764705882353</v>
      </c>
      <c r="M67" s="28">
        <f t="shared" si="21"/>
        <v>2433.9411764705883</v>
      </c>
      <c r="N67" s="28">
        <f t="shared" si="21"/>
        <v>2322.2631578947367</v>
      </c>
      <c r="O67" s="6">
        <f t="shared" si="21"/>
        <v>2891.0555555555557</v>
      </c>
      <c r="P67" s="6">
        <f t="shared" si="21"/>
        <v>3535.6666666666665</v>
      </c>
    </row>
    <row r="68" spans="1:16" ht="11.25">
      <c r="A68" s="12" t="s">
        <v>61</v>
      </c>
      <c r="B68" s="12"/>
      <c r="C68" s="31">
        <f aca="true" t="shared" si="22" ref="C68:P68">(C40/C64)</f>
        <v>-78.11764705882354</v>
      </c>
      <c r="D68" s="31">
        <f t="shared" si="22"/>
        <v>-46.5</v>
      </c>
      <c r="E68" s="31">
        <f t="shared" si="22"/>
        <v>-44.72222222222222</v>
      </c>
      <c r="F68" s="32">
        <f t="shared" si="22"/>
        <v>-3.235294117647059</v>
      </c>
      <c r="G68" s="31">
        <f t="shared" si="22"/>
        <v>20.454545454545453</v>
      </c>
      <c r="H68" s="31">
        <f t="shared" si="22"/>
        <v>14.0625</v>
      </c>
      <c r="I68" s="31">
        <f t="shared" si="22"/>
        <v>11.0625</v>
      </c>
      <c r="J68" s="43">
        <f t="shared" si="22"/>
        <v>-13.0625</v>
      </c>
      <c r="K68" s="44">
        <f t="shared" si="22"/>
        <v>-8.294117647058824</v>
      </c>
      <c r="L68" s="31">
        <f t="shared" si="22"/>
        <v>19.647058823529413</v>
      </c>
      <c r="M68" s="31">
        <f t="shared" si="22"/>
        <v>10.882352941176471</v>
      </c>
      <c r="N68" s="31">
        <f t="shared" si="22"/>
        <v>4.526315789473684</v>
      </c>
      <c r="O68" s="7">
        <f t="shared" si="22"/>
        <v>16.27777777777778</v>
      </c>
      <c r="P68" s="7">
        <f t="shared" si="22"/>
        <v>17</v>
      </c>
    </row>
    <row r="69" spans="1:16" ht="11.25">
      <c r="A69" s="20" t="s">
        <v>62</v>
      </c>
      <c r="E69" s="13"/>
      <c r="F69" s="34"/>
      <c r="K69" s="52"/>
      <c r="L69" s="13"/>
      <c r="M69" s="13"/>
      <c r="N69" s="13"/>
      <c r="O69" s="5"/>
      <c r="P69" s="5"/>
    </row>
    <row r="70" spans="1:16" ht="11.25">
      <c r="A70" s="26" t="s">
        <v>63</v>
      </c>
      <c r="C70" s="45">
        <f aca="true" t="shared" si="23" ref="C70:K70">(C10/G10)-1</f>
        <v>-0.5239102489190137</v>
      </c>
      <c r="D70" s="45">
        <f t="shared" si="23"/>
        <v>-0.582069743131981</v>
      </c>
      <c r="E70" s="45">
        <f t="shared" si="23"/>
        <v>-0.6018029364773934</v>
      </c>
      <c r="F70" s="46">
        <f t="shared" si="23"/>
        <v>-0.013287258426704862</v>
      </c>
      <c r="G70" s="47">
        <f t="shared" si="23"/>
        <v>0.031274480265140125</v>
      </c>
      <c r="H70" s="47">
        <f t="shared" si="23"/>
        <v>0.06962399025113375</v>
      </c>
      <c r="I70" s="47">
        <f t="shared" si="23"/>
        <v>0.7719298245614035</v>
      </c>
      <c r="J70" s="47">
        <f t="shared" si="23"/>
        <v>0.6845416593167519</v>
      </c>
      <c r="K70" s="48">
        <f t="shared" si="23"/>
        <v>0.4087197161338516</v>
      </c>
      <c r="L70" s="45">
        <f>(L10/60207)-1</f>
        <v>0.3220887936618666</v>
      </c>
      <c r="M70" s="45">
        <f>(M10/63929)-1</f>
        <v>-0.24301959986860422</v>
      </c>
      <c r="N70" s="45">
        <f>(N10/94915)-1</f>
        <v>-0.46245588157825424</v>
      </c>
      <c r="O70" s="8">
        <f>(O10/P10)-1</f>
        <v>-0.14273447051289512</v>
      </c>
      <c r="P70" s="8">
        <f>(P10/204511)-1</f>
        <v>-0.6640376312276601</v>
      </c>
    </row>
    <row r="71" spans="1:16" ht="11.25">
      <c r="A71" s="26" t="s">
        <v>64</v>
      </c>
      <c r="C71" s="45">
        <f aca="true" t="shared" si="24" ref="C71:K73">(C12/G12)-1</f>
        <v>0.8263239875389408</v>
      </c>
      <c r="D71" s="45">
        <f t="shared" si="24"/>
        <v>0.24283351708930545</v>
      </c>
      <c r="E71" s="45">
        <f t="shared" si="24"/>
        <v>-0.3310125323254426</v>
      </c>
      <c r="F71" s="46">
        <f t="shared" si="24"/>
        <v>-0.5265118490924943</v>
      </c>
      <c r="G71" s="47">
        <f t="shared" si="24"/>
        <v>-0.2784996839221746</v>
      </c>
      <c r="H71" s="47">
        <f t="shared" si="24"/>
        <v>-0.27757865392273995</v>
      </c>
      <c r="I71" s="47">
        <f t="shared" si="24"/>
        <v>-0.2842599843382929</v>
      </c>
      <c r="J71" s="47">
        <f t="shared" si="24"/>
        <v>-0.12908124525436593</v>
      </c>
      <c r="K71" s="48">
        <f t="shared" si="24"/>
        <v>-0.01166261714682404</v>
      </c>
      <c r="L71" s="45">
        <f>L12/13710-1</f>
        <v>0.09890590809628019</v>
      </c>
      <c r="M71" s="45">
        <f>M12/9449-1</f>
        <v>0.4866123399301514</v>
      </c>
      <c r="N71" s="45">
        <f>N12/9770-1</f>
        <v>0.48280450358239513</v>
      </c>
      <c r="O71" s="8">
        <f>(O12/P12)-1</f>
        <v>0.5345690849046554</v>
      </c>
      <c r="P71" s="8">
        <f>P12/10940-1</f>
        <v>-0.14195612431444238</v>
      </c>
    </row>
    <row r="72" spans="2:16" ht="11.25">
      <c r="B72" s="26" t="s">
        <v>15</v>
      </c>
      <c r="C72" s="45">
        <f t="shared" si="24"/>
        <v>1.7734668335419275</v>
      </c>
      <c r="D72" s="45">
        <f t="shared" si="24"/>
        <v>0.747395388556789</v>
      </c>
      <c r="E72" s="45">
        <f t="shared" si="24"/>
        <v>0.3522513089005235</v>
      </c>
      <c r="F72" s="46">
        <f t="shared" si="24"/>
        <v>0.5900222965440356</v>
      </c>
      <c r="G72" s="47">
        <f t="shared" si="24"/>
        <v>0.12603180994564123</v>
      </c>
      <c r="H72" s="47">
        <f t="shared" si="24"/>
        <v>0.033539276257722905</v>
      </c>
      <c r="I72" s="47">
        <f t="shared" si="24"/>
        <v>0.042804105699934425</v>
      </c>
      <c r="J72" s="47">
        <f t="shared" si="24"/>
        <v>-0.2974348932837282</v>
      </c>
      <c r="K72" s="48">
        <f t="shared" si="24"/>
        <v>-0.06353695324283559</v>
      </c>
      <c r="L72" s="45">
        <f>(L13/4842)-1</f>
        <v>0.16997108632796376</v>
      </c>
      <c r="M72" s="45">
        <f>(M13/4115)-1</f>
        <v>0.11275820170109352</v>
      </c>
      <c r="N72" s="45">
        <f>(N13/4292)-1</f>
        <v>0.18988816402609499</v>
      </c>
      <c r="O72" s="8">
        <f>(O13/P13)-1</f>
        <v>0.4327390599675851</v>
      </c>
      <c r="P72" s="8">
        <f>(P13/3174)-1</f>
        <v>0.16635160680529304</v>
      </c>
    </row>
    <row r="73" spans="2:16" ht="11.25">
      <c r="B73" s="26" t="s">
        <v>16</v>
      </c>
      <c r="C73" s="45">
        <f t="shared" si="24"/>
        <v>-0.30583458003846975</v>
      </c>
      <c r="D73" s="45">
        <f t="shared" si="24"/>
        <v>-0.34460131238814873</v>
      </c>
      <c r="E73" s="45">
        <f t="shared" si="24"/>
        <v>-0.9490433794279219</v>
      </c>
      <c r="F73" s="46">
        <f t="shared" si="24"/>
        <v>-0.9702071104219736</v>
      </c>
      <c r="G73" s="47">
        <f t="shared" si="24"/>
        <v>-0.49525350593311757</v>
      </c>
      <c r="H73" s="47">
        <f t="shared" si="24"/>
        <v>-0.46505690883948514</v>
      </c>
      <c r="I73" s="47">
        <f t="shared" si="24"/>
        <v>-0.44243768483312207</v>
      </c>
      <c r="J73" s="47">
        <f t="shared" si="24"/>
        <v>-0.03742004264392329</v>
      </c>
      <c r="K73" s="48">
        <f t="shared" si="24"/>
        <v>0.018569387979342933</v>
      </c>
      <c r="L73" s="45">
        <f>(L14/8868)-1</f>
        <v>0.06010374379792505</v>
      </c>
      <c r="M73" s="45">
        <f>(M14/5334)-1</f>
        <v>0.7750281214848145</v>
      </c>
      <c r="N73" s="45">
        <f>(N14/5477)-1</f>
        <v>0.7126163958371372</v>
      </c>
      <c r="O73" s="8">
        <f>(O14/P14)-1</f>
        <v>0.6008795074758135</v>
      </c>
      <c r="P73" s="8">
        <f>(P14/7766)-1</f>
        <v>-0.26796291527169713</v>
      </c>
    </row>
    <row r="74" spans="1:16" ht="11.25">
      <c r="A74" s="26" t="s">
        <v>65</v>
      </c>
      <c r="C74" s="45">
        <f aca="true" t="shared" si="25" ref="C74:K75">(C16/G16)-1</f>
        <v>-0.6022224846171003</v>
      </c>
      <c r="D74" s="45">
        <f t="shared" si="25"/>
        <v>-0.6685827552031715</v>
      </c>
      <c r="E74" s="45">
        <f t="shared" si="25"/>
        <v>-0.677828979729205</v>
      </c>
      <c r="F74" s="46">
        <f t="shared" si="25"/>
        <v>-0.018933634816056588</v>
      </c>
      <c r="G74" s="47">
        <f t="shared" si="25"/>
        <v>0.034627392425682135</v>
      </c>
      <c r="H74" s="47">
        <f t="shared" si="25"/>
        <v>0.04844966610324475</v>
      </c>
      <c r="I74" s="47">
        <f t="shared" si="25"/>
        <v>0.8670759117384055</v>
      </c>
      <c r="J74" s="47">
        <f t="shared" si="25"/>
        <v>0.744056387824944</v>
      </c>
      <c r="K74" s="48">
        <f t="shared" si="25"/>
        <v>0.4156690174676685</v>
      </c>
      <c r="L74" s="45">
        <f>L16/53472-1</f>
        <v>0.3498279473369239</v>
      </c>
      <c r="M74" s="45">
        <f>M16/57396-1</f>
        <v>-0.27909610425813647</v>
      </c>
      <c r="N74" s="45">
        <f>N16/89060-1</f>
        <v>-0.5045699528407814</v>
      </c>
      <c r="O74" s="8">
        <f>(O16/P16)-1</f>
        <v>-0.18231670909148046</v>
      </c>
      <c r="P74" s="8">
        <f>P16/199772-1</f>
        <v>-0.6814268265823038</v>
      </c>
    </row>
    <row r="75" spans="2:16" ht="11.25">
      <c r="B75" s="26" t="s">
        <v>15</v>
      </c>
      <c r="C75" s="45">
        <f t="shared" si="25"/>
        <v>0.2739906886248349</v>
      </c>
      <c r="D75" s="45">
        <f t="shared" si="25"/>
        <v>0.23433482700359942</v>
      </c>
      <c r="E75" s="45">
        <f t="shared" si="25"/>
        <v>0.2892639474917955</v>
      </c>
      <c r="F75" s="46">
        <f t="shared" si="25"/>
        <v>0.2333703762501984</v>
      </c>
      <c r="G75" s="47">
        <f t="shared" si="25"/>
        <v>0.0009041591320071429</v>
      </c>
      <c r="H75" s="47">
        <f t="shared" si="25"/>
        <v>-0.09799893983567454</v>
      </c>
      <c r="I75" s="47">
        <f t="shared" si="25"/>
        <v>-0.19438499307566415</v>
      </c>
      <c r="J75" s="47">
        <f t="shared" si="25"/>
        <v>-0.2756439742410304</v>
      </c>
      <c r="K75" s="48">
        <f t="shared" si="25"/>
        <v>-0.09412802419354838</v>
      </c>
      <c r="L75" s="45">
        <f>(L17/15208)-1</f>
        <v>-0.0076275644397685305</v>
      </c>
      <c r="M75" s="45">
        <f>(M17/13947)-1</f>
        <v>0.13902631390263132</v>
      </c>
      <c r="N75" s="45">
        <f>(N17/12972)-1</f>
        <v>0.34073388837496155</v>
      </c>
      <c r="O75" s="8">
        <f>(O17/P17)-1</f>
        <v>0.2934561160459621</v>
      </c>
      <c r="P75" s="8">
        <f>(P17/13169)-1</f>
        <v>-0.06819044726251045</v>
      </c>
    </row>
    <row r="76" spans="2:16" ht="11.25">
      <c r="B76" s="26" t="s">
        <v>16</v>
      </c>
      <c r="C76" s="45">
        <f aca="true" t="shared" si="26" ref="C76:K76">(C21/G21)-1</f>
        <v>-0.8061620572537603</v>
      </c>
      <c r="D76" s="45">
        <f t="shared" si="26"/>
        <v>-0.8666333666333667</v>
      </c>
      <c r="E76" s="45">
        <f t="shared" si="26"/>
        <v>-0.869849199453891</v>
      </c>
      <c r="F76" s="46">
        <f t="shared" si="26"/>
        <v>-0.06832413953849736</v>
      </c>
      <c r="G76" s="47">
        <f t="shared" si="26"/>
        <v>0.04280510018214945</v>
      </c>
      <c r="H76" s="47">
        <f t="shared" si="26"/>
        <v>0.0871667308972428</v>
      </c>
      <c r="I76" s="47">
        <f t="shared" si="26"/>
        <v>1.5285787140559415</v>
      </c>
      <c r="J76" s="47">
        <f t="shared" si="26"/>
        <v>1.4075043956455051</v>
      </c>
      <c r="K76" s="48">
        <f t="shared" si="26"/>
        <v>0.6393950286172478</v>
      </c>
      <c r="L76" s="45">
        <f>(L21/38264)-1</f>
        <v>0.49189839013171643</v>
      </c>
      <c r="M76" s="45">
        <f>(M21/43449)-1</f>
        <v>-0.41331215908306285</v>
      </c>
      <c r="N76" s="45">
        <f>(N21/76088)-1</f>
        <v>-0.6486831037745768</v>
      </c>
      <c r="O76" s="8">
        <f>(O21/P21)-1</f>
        <v>-0.29596464931576183</v>
      </c>
      <c r="P76" s="8">
        <f>(P21/186603)-1</f>
        <v>-0.724704318794446</v>
      </c>
    </row>
    <row r="77" spans="1:16" ht="11.25">
      <c r="A77" s="26" t="s">
        <v>66</v>
      </c>
      <c r="C77" s="45">
        <f aca="true" t="shared" si="27" ref="C77:K77">(C25/G25)-1</f>
        <v>-0.04170035809171768</v>
      </c>
      <c r="D77" s="45">
        <f t="shared" si="27"/>
        <v>0.025878003696857776</v>
      </c>
      <c r="E77" s="45">
        <f t="shared" si="27"/>
        <v>0.0283439060601971</v>
      </c>
      <c r="F77" s="46">
        <f t="shared" si="27"/>
        <v>0.19165598746974233</v>
      </c>
      <c r="G77" s="47">
        <f t="shared" si="27"/>
        <v>0.19704092920353977</v>
      </c>
      <c r="H77" s="47">
        <f t="shared" si="27"/>
        <v>0.3407682775712515</v>
      </c>
      <c r="I77" s="47">
        <f t="shared" si="27"/>
        <v>0.17435409732128715</v>
      </c>
      <c r="J77" s="47">
        <f t="shared" si="27"/>
        <v>0.13128221649484528</v>
      </c>
      <c r="K77" s="48">
        <f t="shared" si="27"/>
        <v>0.1811203658337417</v>
      </c>
      <c r="L77" s="45">
        <f>(L25/5999)-1</f>
        <v>0.07617936322720453</v>
      </c>
      <c r="M77" s="45">
        <f>(M25/5887)-1</f>
        <v>0.0716833701375914</v>
      </c>
      <c r="N77" s="45">
        <f>(N25/4567)-1</f>
        <v>0.35931683818699356</v>
      </c>
      <c r="O77" s="8">
        <f>(O25/P25)-1</f>
        <v>0.3354416575790622</v>
      </c>
      <c r="P77" s="8">
        <f>(P25/3029)-1</f>
        <v>0.5137008913832948</v>
      </c>
    </row>
    <row r="78" spans="1:16" ht="11.25">
      <c r="A78" s="12" t="s">
        <v>67</v>
      </c>
      <c r="B78" s="12"/>
      <c r="C78" s="49">
        <f aca="true" t="shared" si="28" ref="C78:K78">(C40/G40)-1</f>
        <v>-6.902222222222222</v>
      </c>
      <c r="D78" s="49">
        <f t="shared" si="28"/>
        <v>-4.306666666666667</v>
      </c>
      <c r="E78" s="49">
        <f t="shared" si="28"/>
        <v>-5.548022598870056</v>
      </c>
      <c r="F78" s="50">
        <f t="shared" si="28"/>
        <v>-0.736842105263158</v>
      </c>
      <c r="G78" s="49">
        <f t="shared" si="28"/>
        <v>-2.595744680851064</v>
      </c>
      <c r="H78" s="49">
        <f t="shared" si="28"/>
        <v>-0.3263473053892215</v>
      </c>
      <c r="I78" s="49">
        <f t="shared" si="28"/>
        <v>-0.043243243243243246</v>
      </c>
      <c r="J78" s="49">
        <f t="shared" si="28"/>
        <v>-3.4302325581395348</v>
      </c>
      <c r="K78" s="51">
        <f t="shared" si="28"/>
        <v>-1.4812286689419796</v>
      </c>
      <c r="L78" s="49">
        <f>(L40/168)-1</f>
        <v>0.9880952380952381</v>
      </c>
      <c r="M78" s="49">
        <f>(M40/54)-1</f>
        <v>2.425925925925926</v>
      </c>
      <c r="N78" s="49">
        <f>(N40/-18)-1</f>
        <v>-5.777777777777778</v>
      </c>
      <c r="O78" s="9">
        <f>(O40/P40)-1</f>
        <v>-0.042483660130718914</v>
      </c>
      <c r="P78" s="9">
        <f>(P40/135)-1</f>
        <v>1.2666666666666666</v>
      </c>
    </row>
    <row r="79" spans="15:16" ht="11.25">
      <c r="O79" s="5"/>
      <c r="P79" s="5"/>
    </row>
    <row r="80" spans="15:16" ht="11.25">
      <c r="O80" s="5"/>
      <c r="P80" s="5"/>
    </row>
    <row r="81" spans="15:16" ht="11.25">
      <c r="O81" s="5"/>
      <c r="P81" s="5"/>
    </row>
    <row r="82" spans="15:16" ht="11.25">
      <c r="O82" s="5"/>
      <c r="P82" s="5"/>
    </row>
    <row r="83" spans="15:16" ht="11.25">
      <c r="O83" s="5"/>
      <c r="P83" s="5"/>
    </row>
    <row r="84" spans="15:16" ht="11.25">
      <c r="O84" s="5"/>
      <c r="P84" s="5"/>
    </row>
    <row r="85" spans="15:16" ht="11.25">
      <c r="O85" s="5"/>
      <c r="P85" s="5"/>
    </row>
    <row r="86" spans="15:16" ht="11.25">
      <c r="O86" s="5"/>
      <c r="P86" s="5"/>
    </row>
    <row r="87" spans="15:16" ht="11.25">
      <c r="O87" s="5"/>
      <c r="P87" s="5"/>
    </row>
    <row r="88" spans="15:16" ht="11.25">
      <c r="O88" s="5"/>
      <c r="P88" s="5"/>
    </row>
    <row r="89" spans="15:16" ht="11.25">
      <c r="O89" s="5"/>
      <c r="P89" s="5"/>
    </row>
    <row r="90" spans="15:16" ht="11.25">
      <c r="O90" s="5"/>
      <c r="P90" s="5"/>
    </row>
    <row r="91" spans="15:16" ht="11.25">
      <c r="O91" s="5"/>
      <c r="P91" s="5"/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2017-06-16T16:12:36Z</dcterms:created>
  <dcterms:modified xsi:type="dcterms:W3CDTF">2017-06-16T16:12:39Z</dcterms:modified>
  <cp:category/>
  <cp:version/>
  <cp:contentType/>
  <cp:contentStatus/>
</cp:coreProperties>
</file>