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Leumi" sheetId="1" r:id="rId1"/>
  </sheets>
  <definedNames/>
  <calcPr fullCalcOnLoad="1"/>
</workbook>
</file>

<file path=xl/sharedStrings.xml><?xml version="1.0" encoding="utf-8"?>
<sst xmlns="http://schemas.openxmlformats.org/spreadsheetml/2006/main" count="89" uniqueCount="68">
  <si>
    <t>CUADRO No. 18-37</t>
  </si>
  <si>
    <t>BANK LEUMI-LE ISRAEL, B.M.</t>
  </si>
  <si>
    <t>ESTADISTICA FINANCIERA. TRIMESTRES  2000, 2001 Y 2002</t>
  </si>
  <si>
    <t>(En miles de balboas)</t>
  </si>
  <si>
    <t xml:space="preserve">Año </t>
  </si>
  <si>
    <t>Diciembre</t>
  </si>
  <si>
    <t>Septiembre</t>
  </si>
  <si>
    <t>Junio</t>
  </si>
  <si>
    <t>Marzo</t>
  </si>
  <si>
    <t>1999</t>
  </si>
  <si>
    <t>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</si>
  <si>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</si>
  <si>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</si>
  <si>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</si>
  <si>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</si>
  <si>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</si>
  <si>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</si>
  <si>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</si>
  <si>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</si>
  <si>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</si>
  <si>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</si>
  <si>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</si>
  <si>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</si>
  <si>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</si>
  <si>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</si>
  <si>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</si>
  <si>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</si>
  <si>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</si>
  <si>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</si>
  <si>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</si>
  <si>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</si>
  <si>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</si>
  <si>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</si>
  <si>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</si>
  <si>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</si>
  <si>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Vencidos</t>
  </si>
  <si>
    <t>Total Provisiones para Préstamos</t>
  </si>
  <si>
    <t>Préstamos Vencidos / Préstamos Totales</t>
  </si>
  <si>
    <t>Total de Provisiones / Préstamos Vencidos</t>
  </si>
  <si>
    <t>Provisiones Cuentas Malas / Préstamos Totales</t>
  </si>
  <si>
    <t>Razones de Capital</t>
  </si>
  <si>
    <t>Patrimonio / Activos Generadores de Ingreso</t>
  </si>
  <si>
    <t>Patrimonio /Préstamos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</si>
  <si>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</si>
  <si>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</si>
  <si>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</si>
  <si>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</si>
  <si>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</si>
  <si>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Gen. de Ingresos (Promedio)</t>
  </si>
  <si>
    <t>Utilidad Neta / Total de Activos (Promedio)</t>
  </si>
  <si>
    <t>Utilidad Neta / Patrimonio Total (Promedio)</t>
  </si>
  <si>
    <t>Ingresos por Intereses / Activos Gen. De Ingreso (Promedio)</t>
  </si>
  <si>
    <t>Egresos Operaciones / Activos Gen. De Ingreso (Promedio)</t>
  </si>
  <si>
    <t>Ingresos Netos por Intereses / Activos Gen. De Ingreso (Promedio)</t>
  </si>
  <si>
    <t>Egresos Generales / Ingresos de Operaciones</t>
  </si>
  <si>
    <t>Otros Ingresos / Activos Gen. De Ingreso (Promedio)</t>
  </si>
  <si>
    <t>Productividad</t>
  </si>
  <si>
    <t>Número de Empleados</t>
  </si>
  <si>
    <t>Sucursales</t>
  </si>
  <si>
    <t>Préstamos / Empleados  (En miles de balboas)</t>
  </si>
  <si>
    <t>Depósitos Totales / Empleados  (En miles de balboas)</t>
  </si>
  <si>
    <t>Utilidad Neta / Empleados 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</si>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</sst>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8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B/.&quot;\ #,##0;&quot;B/.&quot;\ \-#,##0"/>
    <numFmt numFmtId="181" formatCode="&quot;B/.&quot;\ #,##0;[Red]&quot;B/.&quot;\ \-#,##0"/>
    <numFmt numFmtId="182" formatCode="&quot;B/.&quot;\ #,##0.00;&quot;B/.&quot;\ \-#,##0.00"/>
    <numFmt numFmtId="183" formatCode="&quot;B/.&quot;\ #,##0.00;[Red]&quot;B/.&quot;\ \-#,##0.00"/>
    <numFmt numFmtId="184" formatCode="_ &quot;B/.&quot;\ * #,##0_ ;_ &quot;B/.&quot;\ * \-#,##0_ ;_ &quot;B/.&quot;\ * &quot;-&quot;_ ;_ @_ "/>
    <numFmt numFmtId="185" formatCode="_ * #,##0_ ;_ * \-#,##0_ ;_ * &quot;-&quot;_ ;_ @_ "/>
    <numFmt numFmtId="186" formatCode="_ &quot;B/.&quot;\ * #,##0.00_ ;_ &quot;B/.&quot;\ * \-#,##0.00_ ;_ &quot;B/.&quot;\ * &quot;-&quot;??_ ;_ @_ "/>
    <numFmt numFmtId="187" formatCode="_ * #,##0.00_ ;_ * \-#,##0.00_ ;_ * &quot;-&quot;??_ ;_ @_ 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_(* #,##0.0_);_(* \(#,##0.0\);_(* &quot;-&quot;??_);_(@_)"/>
    <numFmt numFmtId="195" formatCode="_(* #,##0_);_(* \(#,##0\);_(* &quot;-&quot;??_);_(@_)"/>
    <numFmt numFmtId="196" formatCode="_(* #,##0.000_);_(* \(#,##0.000\);_(* &quot;-&quot;??_);_(@_)"/>
    <numFmt numFmtId="197" formatCode="0.0%"/>
    <numFmt numFmtId="198" formatCode="_(* #,##0.0000_);_(* \(#,##0.0000\);_(* &quot;-&quot;??_);_(@_)"/>
    <numFmt numFmtId="199" formatCode="0.00000"/>
    <numFmt numFmtId="200" formatCode="0.0000"/>
    <numFmt numFmtId="201" formatCode="0.000"/>
    <numFmt numFmtId="202" formatCode="0.0"/>
    <numFmt numFmtId="203" formatCode="#,##0.0"/>
  </numFmts>
  <fonts count="38">
    <font>
      <sz val="10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195" fontId="2" fillId="0" borderId="0" xfId="46" applyNumberFormat="1" applyFont="1" applyAlignment="1">
      <alignment/>
    </xf>
    <xf numFmtId="195" fontId="2" fillId="0" borderId="16" xfId="46" applyNumberFormat="1" applyFont="1" applyBorder="1" applyAlignment="1">
      <alignment/>
    </xf>
    <xf numFmtId="195" fontId="2" fillId="0" borderId="0" xfId="46" applyNumberFormat="1" applyFont="1" applyBorder="1" applyAlignment="1">
      <alignment/>
    </xf>
    <xf numFmtId="195" fontId="3" fillId="0" borderId="0" xfId="46" applyNumberFormat="1" applyFont="1" applyAlignment="1">
      <alignment/>
    </xf>
    <xf numFmtId="195" fontId="3" fillId="0" borderId="0" xfId="46" applyNumberFormat="1" applyFont="1" applyBorder="1" applyAlignment="1">
      <alignment/>
    </xf>
    <xf numFmtId="195" fontId="3" fillId="0" borderId="15" xfId="46" applyNumberFormat="1" applyFont="1" applyBorder="1" applyAlignment="1">
      <alignment/>
    </xf>
    <xf numFmtId="195" fontId="3" fillId="0" borderId="16" xfId="46" applyNumberFormat="1" applyFont="1" applyBorder="1" applyAlignment="1">
      <alignment/>
    </xf>
    <xf numFmtId="195" fontId="3" fillId="0" borderId="10" xfId="46" applyNumberFormat="1" applyFont="1" applyBorder="1" applyAlignment="1">
      <alignment/>
    </xf>
    <xf numFmtId="195" fontId="3" fillId="0" borderId="13" xfId="46" applyNumberFormat="1" applyFont="1" applyBorder="1" applyAlignment="1">
      <alignment/>
    </xf>
    <xf numFmtId="195" fontId="3" fillId="0" borderId="14" xfId="46" applyNumberFormat="1" applyFont="1" applyBorder="1" applyAlignment="1">
      <alignment/>
    </xf>
    <xf numFmtId="0" fontId="3" fillId="0" borderId="16" xfId="0" applyFont="1" applyBorder="1" applyAlignment="1">
      <alignment/>
    </xf>
    <xf numFmtId="195" fontId="3" fillId="0" borderId="0" xfId="0" applyNumberFormat="1" applyFont="1" applyAlignment="1">
      <alignment/>
    </xf>
    <xf numFmtId="195" fontId="3" fillId="0" borderId="10" xfId="0" applyNumberFormat="1" applyFont="1" applyBorder="1" applyAlignment="1">
      <alignment/>
    </xf>
    <xf numFmtId="10" fontId="3" fillId="0" borderId="0" xfId="52" applyNumberFormat="1" applyFont="1" applyBorder="1" applyAlignment="1">
      <alignment/>
    </xf>
    <xf numFmtId="10" fontId="3" fillId="0" borderId="15" xfId="52" applyNumberFormat="1" applyFont="1" applyBorder="1" applyAlignment="1">
      <alignment/>
    </xf>
    <xf numFmtId="10" fontId="3" fillId="0" borderId="0" xfId="52" applyNumberFormat="1" applyFont="1" applyAlignment="1">
      <alignment/>
    </xf>
    <xf numFmtId="10" fontId="3" fillId="0" borderId="16" xfId="52" applyNumberFormat="1" applyFont="1" applyBorder="1" applyAlignment="1">
      <alignment/>
    </xf>
    <xf numFmtId="10" fontId="3" fillId="0" borderId="10" xfId="52" applyNumberFormat="1" applyFont="1" applyBorder="1" applyAlignment="1">
      <alignment/>
    </xf>
    <xf numFmtId="10" fontId="3" fillId="0" borderId="13" xfId="52" applyNumberFormat="1" applyFont="1" applyBorder="1" applyAlignment="1">
      <alignment/>
    </xf>
    <xf numFmtId="10" fontId="3" fillId="0" borderId="14" xfId="52" applyNumberFormat="1" applyFont="1" applyBorder="1" applyAlignment="1">
      <alignment/>
    </xf>
    <xf numFmtId="197" fontId="3" fillId="0" borderId="0" xfId="52" applyNumberFormat="1" applyFont="1" applyAlignment="1">
      <alignment/>
    </xf>
    <xf numFmtId="197" fontId="3" fillId="0" borderId="16" xfId="52" applyNumberFormat="1" applyFont="1" applyBorder="1" applyAlignment="1">
      <alignment/>
    </xf>
    <xf numFmtId="197" fontId="3" fillId="0" borderId="0" xfId="52" applyNumberFormat="1" applyFont="1" applyBorder="1" applyAlignment="1">
      <alignment/>
    </xf>
    <xf numFmtId="197" fontId="3" fillId="0" borderId="15" xfId="52" applyNumberFormat="1" applyFont="1" applyBorder="1" applyAlignment="1">
      <alignment/>
    </xf>
    <xf numFmtId="197" fontId="3" fillId="0" borderId="10" xfId="52" applyNumberFormat="1" applyFont="1" applyBorder="1" applyAlignment="1">
      <alignment/>
    </xf>
    <xf numFmtId="197" fontId="3" fillId="0" borderId="13" xfId="52" applyNumberFormat="1" applyFont="1" applyBorder="1" applyAlignment="1">
      <alignment/>
    </xf>
    <xf numFmtId="197" fontId="3" fillId="0" borderId="14" xfId="52" applyNumberFormat="1" applyFont="1" applyBorder="1" applyAlignment="1">
      <alignment/>
    </xf>
    <xf numFmtId="10" fontId="3" fillId="0" borderId="0" xfId="52" applyNumberFormat="1" applyFont="1" applyFill="1" applyBorder="1" applyAlignment="1">
      <alignment/>
    </xf>
    <xf numFmtId="10" fontId="3" fillId="0" borderId="16" xfId="52" applyNumberFormat="1" applyFont="1" applyFill="1" applyBorder="1" applyAlignment="1">
      <alignment/>
    </xf>
    <xf numFmtId="10" fontId="3" fillId="0" borderId="10" xfId="52" applyNumberFormat="1" applyFont="1" applyFill="1" applyBorder="1" applyAlignment="1">
      <alignment/>
    </xf>
    <xf numFmtId="10" fontId="3" fillId="0" borderId="14" xfId="52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123825</xdr:colOff>
      <xdr:row>5</xdr:row>
      <xdr:rowOff>38100</xdr:rowOff>
    </xdr:to>
    <xdr:pic>
      <xdr:nvPicPr>
        <xdr:cNvPr id="1" name="Picture 1" descr="I:\IMAGES\logo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2" sqref="C12"/>
    </sheetView>
  </sheetViews>
  <sheetFormatPr defaultColWidth="11.421875" defaultRowHeight="12.75"/>
  <cols>
    <col min="1" max="1" width="2.28125" style="2" customWidth="1"/>
    <col min="2" max="2" width="29.00390625" style="2" customWidth="1"/>
    <col min="3" max="3" width="8.7109375" style="2" customWidth="1"/>
    <col min="4" max="4" width="8.28125" style="2" customWidth="1"/>
    <col min="5" max="5" width="6.8515625" style="2" customWidth="1"/>
    <col min="6" max="6" width="6.57421875" style="2" bestFit="1" customWidth="1"/>
    <col min="7" max="7" width="7.7109375" style="2" customWidth="1"/>
    <col min="8" max="8" width="8.421875" style="2" customWidth="1"/>
    <col min="9" max="9" width="8.00390625" style="2" customWidth="1"/>
    <col min="10" max="10" width="7.421875" style="2" customWidth="1"/>
    <col min="11" max="11" width="7.00390625" style="2" bestFit="1" customWidth="1"/>
    <col min="12" max="12" width="8.28125" style="2" customWidth="1"/>
    <col min="13" max="13" width="7.28125" style="2" customWidth="1"/>
    <col min="14" max="14" width="7.140625" style="2" customWidth="1"/>
    <col min="15" max="16" width="5.8515625" style="2" hidden="1" customWidth="1"/>
    <col min="17" max="17" width="11.421875" style="2" customWidth="1"/>
    <col min="18" max="16384" width="11.421875" style="1" customWidth="1"/>
  </cols>
  <sheetData>
    <row r="1" spans="2:16" ht="11.25">
      <c r="B1" s="48"/>
      <c r="C1" s="48"/>
      <c r="D1" s="48"/>
      <c r="E1" s="48"/>
      <c r="F1" s="48"/>
      <c r="G1" s="48"/>
      <c r="H1" s="48" t="s">
        <v>0</v>
      </c>
      <c r="I1" s="48"/>
      <c r="J1" s="48"/>
      <c r="K1" s="48"/>
      <c r="L1" s="48"/>
      <c r="M1" s="48"/>
      <c r="N1" s="48"/>
      <c r="O1" s="48"/>
      <c r="P1" s="48"/>
    </row>
    <row r="2" spans="2:16" ht="11.25">
      <c r="B2" s="48"/>
      <c r="C2" s="48"/>
      <c r="D2" s="48"/>
      <c r="E2" s="48"/>
      <c r="F2" s="48"/>
      <c r="G2" s="48"/>
      <c r="H2" s="48" t="s">
        <v>1</v>
      </c>
      <c r="I2" s="48"/>
      <c r="J2" s="48"/>
      <c r="K2" s="48"/>
      <c r="L2" s="48"/>
      <c r="M2" s="48"/>
      <c r="N2" s="48"/>
      <c r="O2" s="48"/>
      <c r="P2" s="48"/>
    </row>
    <row r="3" spans="2:16" ht="11.25">
      <c r="B3" s="48"/>
      <c r="C3" s="48"/>
      <c r="D3" s="48"/>
      <c r="E3" s="48"/>
      <c r="F3" s="48"/>
      <c r="G3" s="48"/>
      <c r="H3" s="48" t="s">
        <v>2</v>
      </c>
      <c r="I3" s="48"/>
      <c r="J3" s="48"/>
      <c r="K3" s="48"/>
      <c r="L3" s="48"/>
      <c r="M3" s="48"/>
      <c r="N3" s="48"/>
      <c r="O3" s="48"/>
      <c r="P3" s="48"/>
    </row>
    <row r="4" spans="1:16" ht="11.25">
      <c r="A4" s="1"/>
      <c r="B4" s="47"/>
      <c r="C4" s="47"/>
      <c r="D4" s="47"/>
      <c r="E4" s="47"/>
      <c r="F4" s="47"/>
      <c r="G4" s="47"/>
      <c r="H4" s="47" t="s">
        <v>3</v>
      </c>
      <c r="I4" s="47"/>
      <c r="J4" s="47"/>
      <c r="K4" s="47"/>
      <c r="L4" s="47"/>
      <c r="M4" s="47"/>
      <c r="N4" s="47"/>
      <c r="O4" s="47"/>
      <c r="P4" s="47"/>
    </row>
    <row r="5" spans="1:16" ht="11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1.25">
      <c r="A6" s="3"/>
      <c r="B6" s="3"/>
      <c r="C6" s="3"/>
      <c r="D6" s="3"/>
      <c r="E6" s="3"/>
      <c r="F6" s="3"/>
      <c r="G6" s="3"/>
      <c r="H6" s="3"/>
      <c r="I6" s="3"/>
      <c r="J6" s="3"/>
      <c r="K6" s="4"/>
      <c r="L6" s="4"/>
      <c r="M6" s="4"/>
      <c r="N6" s="4"/>
      <c r="O6" s="3"/>
      <c r="P6" s="3"/>
    </row>
    <row r="7" spans="1:16" ht="11.25">
      <c r="A7" s="5"/>
      <c r="B7" s="5"/>
      <c r="C7" s="50">
        <v>2002</v>
      </c>
      <c r="D7" s="50"/>
      <c r="E7" s="50"/>
      <c r="F7" s="51"/>
      <c r="G7" s="50">
        <v>2001</v>
      </c>
      <c r="H7" s="50"/>
      <c r="I7" s="50"/>
      <c r="J7" s="50"/>
      <c r="K7" s="49">
        <v>2000</v>
      </c>
      <c r="L7" s="50"/>
      <c r="M7" s="50"/>
      <c r="N7" s="50"/>
      <c r="O7" s="50" t="s">
        <v>4</v>
      </c>
      <c r="P7" s="50"/>
    </row>
    <row r="8" spans="1:16" ht="11.25">
      <c r="A8" s="6"/>
      <c r="B8" s="6"/>
      <c r="C8" s="7" t="s">
        <v>5</v>
      </c>
      <c r="D8" s="6" t="s">
        <v>6</v>
      </c>
      <c r="E8" s="8" t="s">
        <v>7</v>
      </c>
      <c r="F8" s="9" t="s">
        <v>8</v>
      </c>
      <c r="G8" s="7" t="s">
        <v>5</v>
      </c>
      <c r="H8" s="6" t="s">
        <v>6</v>
      </c>
      <c r="I8" s="6" t="s">
        <v>7</v>
      </c>
      <c r="J8" s="6" t="s">
        <v>8</v>
      </c>
      <c r="K8" s="10" t="s">
        <v>5</v>
      </c>
      <c r="L8" s="6" t="s">
        <v>6</v>
      </c>
      <c r="M8" s="6" t="s">
        <v>7</v>
      </c>
      <c r="N8" s="11" t="s">
        <v>8</v>
      </c>
      <c r="O8" s="12" t="s">
        <v>9</v>
      </c>
      <c r="P8" s="12" t="s">
        <v>10</v>
      </c>
    </row>
    <row r="9" spans="1:16" ht="11.25">
      <c r="A9" s="13" t="s">
        <v>11</v>
      </c>
      <c r="B9" s="13"/>
      <c r="C9" s="13"/>
      <c r="D9" s="13"/>
      <c r="E9" s="14"/>
      <c r="F9" s="15"/>
      <c r="G9" s="13"/>
      <c r="H9" s="13"/>
      <c r="I9" s="13"/>
      <c r="J9" s="16"/>
      <c r="K9" s="17"/>
      <c r="L9" s="18"/>
      <c r="M9" s="18"/>
      <c r="N9" s="18"/>
      <c r="O9" s="16"/>
      <c r="P9" s="16"/>
    </row>
    <row r="10" spans="1:16" ht="11.25">
      <c r="A10" s="2" t="s">
        <v>12</v>
      </c>
      <c r="C10" s="19">
        <v>83928</v>
      </c>
      <c r="D10" s="19">
        <v>85798</v>
      </c>
      <c r="E10" s="20">
        <v>89509</v>
      </c>
      <c r="F10" s="21">
        <v>85194</v>
      </c>
      <c r="G10" s="19">
        <v>91933</v>
      </c>
      <c r="H10" s="19">
        <v>99589</v>
      </c>
      <c r="I10" s="19">
        <v>84628</v>
      </c>
      <c r="J10" s="19">
        <v>77986</v>
      </c>
      <c r="K10" s="22">
        <v>79617</v>
      </c>
      <c r="L10" s="20">
        <v>83701</v>
      </c>
      <c r="M10" s="20">
        <v>72596</v>
      </c>
      <c r="N10" s="20">
        <v>68594</v>
      </c>
      <c r="O10" s="19">
        <v>69162</v>
      </c>
      <c r="P10" s="19">
        <v>64132</v>
      </c>
    </row>
    <row r="11" spans="1:16" ht="11.25">
      <c r="A11" s="2" t="s">
        <v>13</v>
      </c>
      <c r="C11" s="19">
        <v>8084</v>
      </c>
      <c r="D11" s="19">
        <v>3189</v>
      </c>
      <c r="E11" s="20">
        <v>4493</v>
      </c>
      <c r="F11" s="21">
        <v>5508</v>
      </c>
      <c r="G11" s="19">
        <v>15697</v>
      </c>
      <c r="H11" s="19">
        <v>5701</v>
      </c>
      <c r="I11" s="19">
        <v>5162</v>
      </c>
      <c r="J11" s="19">
        <v>4749</v>
      </c>
      <c r="K11" s="22">
        <v>12115</v>
      </c>
      <c r="L11" s="20">
        <v>4975</v>
      </c>
      <c r="M11" s="20">
        <v>4951</v>
      </c>
      <c r="N11" s="20">
        <v>5470</v>
      </c>
      <c r="O11" s="19">
        <v>7684</v>
      </c>
      <c r="P11" s="19">
        <v>8385</v>
      </c>
    </row>
    <row r="12" spans="1:16" ht="11.25">
      <c r="A12" s="2" t="s">
        <v>14</v>
      </c>
      <c r="C12" s="20">
        <f aca="true" t="shared" si="0" ref="C12:P12">C13+C14</f>
        <v>73440</v>
      </c>
      <c r="D12" s="20">
        <f t="shared" si="0"/>
        <v>80363</v>
      </c>
      <c r="E12" s="20">
        <f t="shared" si="0"/>
        <v>82453</v>
      </c>
      <c r="F12" s="21">
        <f t="shared" si="0"/>
        <v>78100</v>
      </c>
      <c r="G12" s="19">
        <f t="shared" si="0"/>
        <v>74175</v>
      </c>
      <c r="H12" s="19">
        <f t="shared" si="0"/>
        <v>91969</v>
      </c>
      <c r="I12" s="19">
        <f t="shared" si="0"/>
        <v>76682</v>
      </c>
      <c r="J12" s="19">
        <f t="shared" si="0"/>
        <v>71340</v>
      </c>
      <c r="K12" s="22">
        <f t="shared" si="0"/>
        <v>65568</v>
      </c>
      <c r="L12" s="20">
        <f t="shared" si="0"/>
        <v>76243</v>
      </c>
      <c r="M12" s="20">
        <f t="shared" si="0"/>
        <v>64698</v>
      </c>
      <c r="N12" s="20">
        <f t="shared" si="0"/>
        <v>61505</v>
      </c>
      <c r="O12" s="19">
        <f t="shared" si="0"/>
        <v>60181</v>
      </c>
      <c r="P12" s="19">
        <f t="shared" si="0"/>
        <v>54051</v>
      </c>
    </row>
    <row r="13" spans="2:16" ht="11.25">
      <c r="B13" s="2" t="s">
        <v>15</v>
      </c>
      <c r="C13" s="19">
        <v>73140</v>
      </c>
      <c r="D13" s="19">
        <v>80038</v>
      </c>
      <c r="E13" s="20">
        <v>80153</v>
      </c>
      <c r="F13" s="21">
        <v>78100</v>
      </c>
      <c r="G13" s="19">
        <v>74173</v>
      </c>
      <c r="H13" s="19">
        <v>90207</v>
      </c>
      <c r="I13" s="19">
        <v>75078</v>
      </c>
      <c r="J13" s="19">
        <v>69706</v>
      </c>
      <c r="K13" s="22">
        <v>64062</v>
      </c>
      <c r="L13" s="20">
        <v>74743</v>
      </c>
      <c r="M13" s="20">
        <v>63198</v>
      </c>
      <c r="N13" s="20">
        <v>59985</v>
      </c>
      <c r="O13" s="19">
        <v>56682</v>
      </c>
      <c r="P13" s="19">
        <v>51317</v>
      </c>
    </row>
    <row r="14" spans="2:16" ht="11.25">
      <c r="B14" s="2" t="s">
        <v>16</v>
      </c>
      <c r="C14" s="19">
        <v>300</v>
      </c>
      <c r="D14" s="19">
        <v>325</v>
      </c>
      <c r="E14" s="20">
        <v>2300</v>
      </c>
      <c r="F14" s="21">
        <v>0</v>
      </c>
      <c r="G14" s="19">
        <v>2</v>
      </c>
      <c r="H14" s="19">
        <v>1762</v>
      </c>
      <c r="I14" s="19">
        <v>1604</v>
      </c>
      <c r="J14" s="19">
        <v>1634</v>
      </c>
      <c r="K14" s="22">
        <v>1506</v>
      </c>
      <c r="L14" s="20">
        <v>1500</v>
      </c>
      <c r="M14" s="20">
        <v>1500</v>
      </c>
      <c r="N14" s="20">
        <v>1520</v>
      </c>
      <c r="O14" s="19">
        <v>3499</v>
      </c>
      <c r="P14" s="19">
        <v>2734</v>
      </c>
    </row>
    <row r="15" spans="1:16" ht="11.25">
      <c r="A15" s="2" t="s">
        <v>17</v>
      </c>
      <c r="C15" s="19">
        <v>0</v>
      </c>
      <c r="D15" s="19">
        <v>0</v>
      </c>
      <c r="E15" s="20">
        <v>0</v>
      </c>
      <c r="F15" s="21">
        <v>0</v>
      </c>
      <c r="G15" s="19">
        <v>0</v>
      </c>
      <c r="H15" s="19">
        <v>0</v>
      </c>
      <c r="I15" s="19">
        <v>0</v>
      </c>
      <c r="J15" s="19">
        <v>0</v>
      </c>
      <c r="K15" s="22">
        <v>0</v>
      </c>
      <c r="L15" s="20">
        <v>195</v>
      </c>
      <c r="M15" s="20">
        <v>194</v>
      </c>
      <c r="N15" s="20">
        <v>192</v>
      </c>
      <c r="O15" s="19">
        <v>190</v>
      </c>
      <c r="P15" s="19">
        <v>185</v>
      </c>
    </row>
    <row r="16" spans="1:16" ht="11.25">
      <c r="A16" s="2" t="s">
        <v>18</v>
      </c>
      <c r="C16" s="20">
        <f aca="true" t="shared" si="1" ref="C16:P16">C17+C21</f>
        <v>69988</v>
      </c>
      <c r="D16" s="20">
        <f t="shared" si="1"/>
        <v>72669</v>
      </c>
      <c r="E16" s="20">
        <f t="shared" si="1"/>
        <v>76386</v>
      </c>
      <c r="F16" s="21">
        <f t="shared" si="1"/>
        <v>71557</v>
      </c>
      <c r="G16" s="19">
        <f t="shared" si="1"/>
        <v>77702</v>
      </c>
      <c r="H16" s="19">
        <f t="shared" si="1"/>
        <v>88736</v>
      </c>
      <c r="I16" s="19">
        <f t="shared" si="1"/>
        <v>72348</v>
      </c>
      <c r="J16" s="19">
        <f t="shared" si="1"/>
        <v>68612</v>
      </c>
      <c r="K16" s="22">
        <f t="shared" si="1"/>
        <v>70052</v>
      </c>
      <c r="L16" s="20">
        <f t="shared" si="1"/>
        <v>73531</v>
      </c>
      <c r="M16" s="20">
        <f t="shared" si="1"/>
        <v>61794</v>
      </c>
      <c r="N16" s="20">
        <f t="shared" si="1"/>
        <v>59111</v>
      </c>
      <c r="O16" s="19">
        <f t="shared" si="1"/>
        <v>60030</v>
      </c>
      <c r="P16" s="19">
        <f t="shared" si="1"/>
        <v>54297</v>
      </c>
    </row>
    <row r="17" spans="2:16" ht="11.25">
      <c r="B17" s="2" t="s">
        <v>15</v>
      </c>
      <c r="C17" s="20">
        <f aca="true" t="shared" si="2" ref="C17:P17">SUM(C18:C20)</f>
        <v>65184</v>
      </c>
      <c r="D17" s="20">
        <f t="shared" si="2"/>
        <v>57031</v>
      </c>
      <c r="E17" s="20">
        <f t="shared" si="2"/>
        <v>56735</v>
      </c>
      <c r="F17" s="21">
        <f t="shared" si="2"/>
        <v>70107</v>
      </c>
      <c r="G17" s="19">
        <f t="shared" si="2"/>
        <v>66050</v>
      </c>
      <c r="H17" s="19">
        <f t="shared" si="2"/>
        <v>74748</v>
      </c>
      <c r="I17" s="19">
        <f t="shared" si="2"/>
        <v>60284</v>
      </c>
      <c r="J17" s="19">
        <f t="shared" si="2"/>
        <v>60128</v>
      </c>
      <c r="K17" s="22">
        <f t="shared" si="2"/>
        <v>66231</v>
      </c>
      <c r="L17" s="20">
        <f t="shared" si="2"/>
        <v>58125</v>
      </c>
      <c r="M17" s="20">
        <f t="shared" si="2"/>
        <v>52447</v>
      </c>
      <c r="N17" s="20">
        <f t="shared" si="2"/>
        <v>55802</v>
      </c>
      <c r="O17" s="19">
        <f t="shared" si="2"/>
        <v>56991</v>
      </c>
      <c r="P17" s="19">
        <f t="shared" si="2"/>
        <v>53275</v>
      </c>
    </row>
    <row r="18" spans="2:16" ht="11.25">
      <c r="B18" s="2" t="s">
        <v>19</v>
      </c>
      <c r="C18" s="19">
        <v>0</v>
      </c>
      <c r="D18" s="20">
        <v>0</v>
      </c>
      <c r="E18" s="20">
        <v>0</v>
      </c>
      <c r="F18" s="21">
        <v>152</v>
      </c>
      <c r="G18" s="19">
        <v>0</v>
      </c>
      <c r="H18" s="19">
        <v>0</v>
      </c>
      <c r="I18" s="19">
        <v>0</v>
      </c>
      <c r="J18" s="19">
        <v>0</v>
      </c>
      <c r="K18" s="22">
        <v>0</v>
      </c>
      <c r="L18" s="20">
        <v>0</v>
      </c>
      <c r="M18" s="20">
        <v>0</v>
      </c>
      <c r="N18" s="20">
        <v>0</v>
      </c>
      <c r="O18" s="19">
        <v>0</v>
      </c>
      <c r="P18" s="19">
        <v>0</v>
      </c>
    </row>
    <row r="19" spans="2:16" ht="11.25">
      <c r="B19" s="2" t="s">
        <v>20</v>
      </c>
      <c r="C19" s="19">
        <v>65184</v>
      </c>
      <c r="D19" s="19">
        <v>57031</v>
      </c>
      <c r="E19" s="20">
        <v>56735</v>
      </c>
      <c r="F19" s="21">
        <v>69842</v>
      </c>
      <c r="G19" s="19">
        <f>57281+8769</f>
        <v>66050</v>
      </c>
      <c r="H19" s="19">
        <v>74748</v>
      </c>
      <c r="I19" s="19">
        <v>60284</v>
      </c>
      <c r="J19" s="19">
        <v>60128</v>
      </c>
      <c r="K19" s="22">
        <v>61231</v>
      </c>
      <c r="L19" s="20">
        <v>53125</v>
      </c>
      <c r="M19" s="20">
        <v>52447</v>
      </c>
      <c r="N19" s="20">
        <v>55802</v>
      </c>
      <c r="O19" s="19">
        <v>56991</v>
      </c>
      <c r="P19" s="19">
        <v>53275</v>
      </c>
    </row>
    <row r="20" spans="2:16" ht="11.25">
      <c r="B20" s="2" t="s">
        <v>21</v>
      </c>
      <c r="C20" s="19">
        <v>0</v>
      </c>
      <c r="D20" s="20">
        <v>0</v>
      </c>
      <c r="E20" s="20">
        <v>0</v>
      </c>
      <c r="F20" s="21">
        <v>113</v>
      </c>
      <c r="G20" s="19">
        <v>0</v>
      </c>
      <c r="H20" s="19">
        <v>0</v>
      </c>
      <c r="I20" s="19">
        <v>0</v>
      </c>
      <c r="J20" s="19">
        <v>0</v>
      </c>
      <c r="K20" s="22">
        <v>5000</v>
      </c>
      <c r="L20" s="20">
        <v>5000</v>
      </c>
      <c r="M20" s="20">
        <v>0</v>
      </c>
      <c r="N20" s="20">
        <v>0</v>
      </c>
      <c r="O20" s="19">
        <v>0</v>
      </c>
      <c r="P20" s="19">
        <v>0</v>
      </c>
    </row>
    <row r="21" spans="2:16" ht="11.25">
      <c r="B21" s="2" t="s">
        <v>16</v>
      </c>
      <c r="C21" s="20">
        <f>SUM(C22:C24)</f>
        <v>4804</v>
      </c>
      <c r="D21" s="20">
        <f aca="true" t="shared" si="3" ref="D21:P21">SUM(D23:D24)</f>
        <v>15638</v>
      </c>
      <c r="E21" s="20">
        <f t="shared" si="3"/>
        <v>19651</v>
      </c>
      <c r="F21" s="21">
        <f t="shared" si="3"/>
        <v>1450</v>
      </c>
      <c r="G21" s="19">
        <f t="shared" si="3"/>
        <v>11652</v>
      </c>
      <c r="H21" s="19">
        <f t="shared" si="3"/>
        <v>13988</v>
      </c>
      <c r="I21" s="19">
        <f t="shared" si="3"/>
        <v>12064</v>
      </c>
      <c r="J21" s="19">
        <f t="shared" si="3"/>
        <v>8484</v>
      </c>
      <c r="K21" s="22">
        <f t="shared" si="3"/>
        <v>3821</v>
      </c>
      <c r="L21" s="20">
        <f t="shared" si="3"/>
        <v>15406</v>
      </c>
      <c r="M21" s="20">
        <f t="shared" si="3"/>
        <v>9347</v>
      </c>
      <c r="N21" s="20">
        <f t="shared" si="3"/>
        <v>3309</v>
      </c>
      <c r="O21" s="19">
        <f t="shared" si="3"/>
        <v>3039</v>
      </c>
      <c r="P21" s="19">
        <f t="shared" si="3"/>
        <v>1022</v>
      </c>
    </row>
    <row r="22" spans="2:16" ht="11.25">
      <c r="B22" s="2" t="s">
        <v>19</v>
      </c>
      <c r="C22" s="20">
        <v>0</v>
      </c>
      <c r="D22" s="20">
        <v>0</v>
      </c>
      <c r="E22" s="20">
        <v>0</v>
      </c>
      <c r="F22" s="21">
        <v>0</v>
      </c>
      <c r="G22" s="19">
        <v>0</v>
      </c>
      <c r="H22" s="19">
        <v>0</v>
      </c>
      <c r="I22" s="19">
        <v>0</v>
      </c>
      <c r="J22" s="19">
        <v>0</v>
      </c>
      <c r="K22" s="22">
        <v>0</v>
      </c>
      <c r="L22" s="20">
        <v>0</v>
      </c>
      <c r="M22" s="20">
        <v>0</v>
      </c>
      <c r="N22" s="20">
        <v>0</v>
      </c>
      <c r="O22" s="19"/>
      <c r="P22" s="19"/>
    </row>
    <row r="23" spans="2:16" ht="11.25">
      <c r="B23" s="2" t="s">
        <v>20</v>
      </c>
      <c r="C23" s="19">
        <v>1304</v>
      </c>
      <c r="D23" s="19">
        <v>1638</v>
      </c>
      <c r="E23" s="20">
        <v>1651</v>
      </c>
      <c r="F23" s="21">
        <v>1450</v>
      </c>
      <c r="G23" s="19">
        <f>338+1314</f>
        <v>1652</v>
      </c>
      <c r="H23" s="19">
        <v>3488</v>
      </c>
      <c r="I23" s="19">
        <v>4064</v>
      </c>
      <c r="J23" s="19">
        <v>3984</v>
      </c>
      <c r="K23" s="22">
        <v>3821</v>
      </c>
      <c r="L23" s="20">
        <v>3406</v>
      </c>
      <c r="M23" s="20">
        <v>3347</v>
      </c>
      <c r="N23" s="20">
        <v>2809</v>
      </c>
      <c r="O23" s="19">
        <v>1539</v>
      </c>
      <c r="P23" s="19">
        <v>1022</v>
      </c>
    </row>
    <row r="24" spans="2:16" ht="11.25">
      <c r="B24" s="2" t="s">
        <v>21</v>
      </c>
      <c r="C24" s="19">
        <v>3500</v>
      </c>
      <c r="D24" s="19">
        <v>14000</v>
      </c>
      <c r="E24" s="20">
        <v>18000</v>
      </c>
      <c r="F24" s="21">
        <v>0</v>
      </c>
      <c r="G24" s="19">
        <v>10000</v>
      </c>
      <c r="H24" s="19">
        <v>10500</v>
      </c>
      <c r="I24" s="19">
        <v>8000</v>
      </c>
      <c r="J24" s="19">
        <v>4500</v>
      </c>
      <c r="K24" s="22">
        <v>0</v>
      </c>
      <c r="L24" s="20">
        <v>12000</v>
      </c>
      <c r="M24" s="20">
        <v>6000</v>
      </c>
      <c r="N24" s="20">
        <v>500</v>
      </c>
      <c r="O24" s="19">
        <v>1500</v>
      </c>
      <c r="P24" s="19">
        <v>0</v>
      </c>
    </row>
    <row r="25" spans="1:16" ht="11.25">
      <c r="A25" s="3" t="s">
        <v>22</v>
      </c>
      <c r="B25" s="3"/>
      <c r="C25" s="23">
        <v>8769</v>
      </c>
      <c r="D25" s="23">
        <v>8687</v>
      </c>
      <c r="E25" s="23">
        <v>8551</v>
      </c>
      <c r="F25" s="24">
        <v>7245</v>
      </c>
      <c r="G25" s="23">
        <v>7076</v>
      </c>
      <c r="H25" s="23">
        <v>6947</v>
      </c>
      <c r="I25" s="23">
        <v>6743</v>
      </c>
      <c r="J25" s="23">
        <v>5793</v>
      </c>
      <c r="K25" s="25">
        <v>5550</v>
      </c>
      <c r="L25" s="23">
        <v>5864</v>
      </c>
      <c r="M25" s="23">
        <v>5603</v>
      </c>
      <c r="N25" s="23">
        <v>5396</v>
      </c>
      <c r="O25" s="23">
        <v>5282</v>
      </c>
      <c r="P25" s="23">
        <v>4912</v>
      </c>
    </row>
    <row r="26" spans="1:16" ht="11.25">
      <c r="A26" s="13" t="s">
        <v>23</v>
      </c>
      <c r="E26" s="20"/>
      <c r="F26" s="21"/>
      <c r="H26" s="19"/>
      <c r="J26" s="19"/>
      <c r="K26" s="22"/>
      <c r="L26" s="20"/>
      <c r="M26" s="20"/>
      <c r="N26" s="20"/>
      <c r="O26" s="19"/>
      <c r="P26" s="19"/>
    </row>
    <row r="27" spans="1:16" ht="11.25">
      <c r="A27" s="2" t="s">
        <v>12</v>
      </c>
      <c r="C27" s="20">
        <f aca="true" t="shared" si="4" ref="C27:J27">(C10+G10)/2</f>
        <v>87930.5</v>
      </c>
      <c r="D27" s="20">
        <f t="shared" si="4"/>
        <v>92693.5</v>
      </c>
      <c r="E27" s="20">
        <f t="shared" si="4"/>
        <v>87068.5</v>
      </c>
      <c r="F27" s="21">
        <f t="shared" si="4"/>
        <v>81590</v>
      </c>
      <c r="G27" s="19">
        <f t="shared" si="4"/>
        <v>85775</v>
      </c>
      <c r="H27" s="19">
        <f t="shared" si="4"/>
        <v>91645</v>
      </c>
      <c r="I27" s="19">
        <f t="shared" si="4"/>
        <v>78612</v>
      </c>
      <c r="J27" s="19">
        <f t="shared" si="4"/>
        <v>73290</v>
      </c>
      <c r="K27" s="22">
        <f>(K10+69162)/2</f>
        <v>74389.5</v>
      </c>
      <c r="L27" s="20">
        <f>(L10+69145)/2</f>
        <v>76423</v>
      </c>
      <c r="M27" s="20">
        <f>(M10+68907)/2</f>
        <v>70751.5</v>
      </c>
      <c r="N27" s="20">
        <f>(N10+62179)/2</f>
        <v>65386.5</v>
      </c>
      <c r="O27" s="19">
        <f>(O10+P10)/2</f>
        <v>66647</v>
      </c>
      <c r="P27" s="19">
        <f>(P10+70289)/2</f>
        <v>67210.5</v>
      </c>
    </row>
    <row r="28" spans="1:16" ht="11.25">
      <c r="A28" s="2" t="s">
        <v>24</v>
      </c>
      <c r="C28" s="20">
        <f aca="true" t="shared" si="5" ref="C28:P28">C29+C30</f>
        <v>73807.5</v>
      </c>
      <c r="D28" s="20">
        <f t="shared" si="5"/>
        <v>86166</v>
      </c>
      <c r="E28" s="20">
        <f t="shared" si="5"/>
        <v>79567.5</v>
      </c>
      <c r="F28" s="21">
        <f t="shared" si="5"/>
        <v>74720</v>
      </c>
      <c r="G28" s="19">
        <f t="shared" si="5"/>
        <v>69871.5</v>
      </c>
      <c r="H28" s="19">
        <f t="shared" si="5"/>
        <v>84203.5</v>
      </c>
      <c r="I28" s="19">
        <f t="shared" si="5"/>
        <v>70787</v>
      </c>
      <c r="J28" s="19">
        <f t="shared" si="5"/>
        <v>66518.5</v>
      </c>
      <c r="K28" s="22">
        <f t="shared" si="5"/>
        <v>64624</v>
      </c>
      <c r="L28" s="20">
        <f t="shared" si="5"/>
        <v>69696</v>
      </c>
      <c r="M28" s="20">
        <f t="shared" si="5"/>
        <v>64391</v>
      </c>
      <c r="N28" s="20">
        <f t="shared" si="5"/>
        <v>58801.5</v>
      </c>
      <c r="O28" s="19">
        <f t="shared" si="5"/>
        <v>57303.5</v>
      </c>
      <c r="P28" s="19">
        <f t="shared" si="5"/>
        <v>48991.5</v>
      </c>
    </row>
    <row r="29" spans="2:16" ht="11.25">
      <c r="B29" s="2" t="s">
        <v>14</v>
      </c>
      <c r="C29" s="20">
        <f aca="true" t="shared" si="6" ref="C29:K29">(C12+G12)/2</f>
        <v>73807.5</v>
      </c>
      <c r="D29" s="20">
        <f t="shared" si="6"/>
        <v>86166</v>
      </c>
      <c r="E29" s="20">
        <f t="shared" si="6"/>
        <v>79567.5</v>
      </c>
      <c r="F29" s="21">
        <f t="shared" si="6"/>
        <v>74720</v>
      </c>
      <c r="G29" s="19">
        <f t="shared" si="6"/>
        <v>69871.5</v>
      </c>
      <c r="H29" s="19">
        <f t="shared" si="6"/>
        <v>84106</v>
      </c>
      <c r="I29" s="19">
        <f t="shared" si="6"/>
        <v>70690</v>
      </c>
      <c r="J29" s="19">
        <f t="shared" si="6"/>
        <v>66422.5</v>
      </c>
      <c r="K29" s="22">
        <f t="shared" si="6"/>
        <v>62874.5</v>
      </c>
      <c r="L29" s="20">
        <f>(L12+62765)/2</f>
        <v>69504</v>
      </c>
      <c r="M29" s="20">
        <f>(M12+63702)/2</f>
        <v>64200</v>
      </c>
      <c r="N29" s="20">
        <f>(N12+55720)/2</f>
        <v>58612.5</v>
      </c>
      <c r="O29" s="19">
        <f>(O12+P12)/2</f>
        <v>57116</v>
      </c>
      <c r="P29" s="19">
        <f>(P12+43545)/2</f>
        <v>48798</v>
      </c>
    </row>
    <row r="30" spans="2:16" ht="11.25">
      <c r="B30" s="2" t="s">
        <v>17</v>
      </c>
      <c r="C30" s="20">
        <f aca="true" t="shared" si="7" ref="C30:J30">(C15+G15)/2</f>
        <v>0</v>
      </c>
      <c r="D30" s="20">
        <f t="shared" si="7"/>
        <v>0</v>
      </c>
      <c r="E30" s="20">
        <f t="shared" si="7"/>
        <v>0</v>
      </c>
      <c r="F30" s="21">
        <f t="shared" si="7"/>
        <v>0</v>
      </c>
      <c r="G30" s="19">
        <f t="shared" si="7"/>
        <v>0</v>
      </c>
      <c r="H30" s="19">
        <f t="shared" si="7"/>
        <v>97.5</v>
      </c>
      <c r="I30" s="19">
        <f t="shared" si="7"/>
        <v>97</v>
      </c>
      <c r="J30" s="19">
        <f t="shared" si="7"/>
        <v>96</v>
      </c>
      <c r="K30" s="22">
        <f>(K15+O14)/2</f>
        <v>1749.5</v>
      </c>
      <c r="L30" s="20">
        <f>(L15+189)/2</f>
        <v>192</v>
      </c>
      <c r="M30" s="20">
        <f>(M15+188)/2</f>
        <v>191</v>
      </c>
      <c r="N30" s="20">
        <f>(N15+186)/2</f>
        <v>189</v>
      </c>
      <c r="O30" s="19">
        <f>(O15+P15)/2</f>
        <v>187.5</v>
      </c>
      <c r="P30" s="19">
        <f>(P15+202)/2</f>
        <v>193.5</v>
      </c>
    </row>
    <row r="31" spans="1:16" ht="11.25">
      <c r="A31" s="3" t="s">
        <v>22</v>
      </c>
      <c r="B31" s="3"/>
      <c r="C31" s="23">
        <f aca="true" t="shared" si="8" ref="C31:K31">(C25+G25)/2</f>
        <v>7922.5</v>
      </c>
      <c r="D31" s="23">
        <f t="shared" si="8"/>
        <v>7817</v>
      </c>
      <c r="E31" s="23">
        <f t="shared" si="8"/>
        <v>7647</v>
      </c>
      <c r="F31" s="24">
        <f t="shared" si="8"/>
        <v>6519</v>
      </c>
      <c r="G31" s="23">
        <f t="shared" si="8"/>
        <v>6313</v>
      </c>
      <c r="H31" s="23">
        <f t="shared" si="8"/>
        <v>6405.5</v>
      </c>
      <c r="I31" s="23">
        <f t="shared" si="8"/>
        <v>6173</v>
      </c>
      <c r="J31" s="23">
        <f t="shared" si="8"/>
        <v>5594.5</v>
      </c>
      <c r="K31" s="25">
        <f t="shared" si="8"/>
        <v>5416</v>
      </c>
      <c r="L31" s="23">
        <f>(L25+5332)/2</f>
        <v>5598</v>
      </c>
      <c r="M31" s="23">
        <f>(M25+5213)/2</f>
        <v>5408</v>
      </c>
      <c r="N31" s="23">
        <f>(N25+5088)/2</f>
        <v>5242</v>
      </c>
      <c r="O31" s="23">
        <f>(O25+P25)/2</f>
        <v>5097</v>
      </c>
      <c r="P31" s="23">
        <f>(P25+4474)/2</f>
        <v>4693</v>
      </c>
    </row>
    <row r="32" spans="1:14" ht="11.25">
      <c r="A32" s="13" t="s">
        <v>25</v>
      </c>
      <c r="E32" s="20"/>
      <c r="F32" s="21"/>
      <c r="H32" s="19"/>
      <c r="J32" s="19"/>
      <c r="K32" s="26"/>
      <c r="L32" s="4"/>
      <c r="M32" s="4"/>
      <c r="N32" s="4"/>
    </row>
    <row r="33" spans="1:16" ht="11.25">
      <c r="A33" s="2" t="s">
        <v>26</v>
      </c>
      <c r="C33" s="19">
        <v>5886</v>
      </c>
      <c r="D33" s="19">
        <v>4435</v>
      </c>
      <c r="E33" s="20">
        <v>2949</v>
      </c>
      <c r="F33" s="21">
        <v>1465</v>
      </c>
      <c r="G33" s="27">
        <v>7211</v>
      </c>
      <c r="H33" s="19">
        <f>I33+1906</f>
        <v>5340</v>
      </c>
      <c r="I33" s="19">
        <f>J33+1719</f>
        <v>3434</v>
      </c>
      <c r="J33" s="19">
        <v>1715</v>
      </c>
      <c r="K33" s="22">
        <f>1932+L33</f>
        <v>6899</v>
      </c>
      <c r="L33" s="20">
        <f>1844+M33</f>
        <v>4967</v>
      </c>
      <c r="M33" s="20">
        <f>1662+N33</f>
        <v>3123</v>
      </c>
      <c r="N33" s="20">
        <v>1461</v>
      </c>
      <c r="O33" s="19">
        <v>5795</v>
      </c>
      <c r="P33" s="19">
        <v>5821</v>
      </c>
    </row>
    <row r="34" spans="1:16" ht="11.25">
      <c r="A34" s="2" t="s">
        <v>27</v>
      </c>
      <c r="C34" s="19">
        <v>3978</v>
      </c>
      <c r="D34" s="19">
        <v>3007</v>
      </c>
      <c r="E34" s="20">
        <v>2020</v>
      </c>
      <c r="F34" s="21">
        <v>1046</v>
      </c>
      <c r="G34" s="27">
        <v>5221</v>
      </c>
      <c r="H34" s="19">
        <f>I34+1357</f>
        <v>3816</v>
      </c>
      <c r="I34" s="19">
        <f>J34+1221</f>
        <v>2459</v>
      </c>
      <c r="J34" s="19">
        <v>1238</v>
      </c>
      <c r="K34" s="22">
        <f>1404+L34</f>
        <v>4896</v>
      </c>
      <c r="L34" s="20">
        <f>1358+M34</f>
        <v>3492</v>
      </c>
      <c r="M34" s="20">
        <f>1088+N34</f>
        <v>2134</v>
      </c>
      <c r="N34" s="20">
        <v>1046</v>
      </c>
      <c r="O34" s="19">
        <v>4048</v>
      </c>
      <c r="P34" s="19">
        <v>3808</v>
      </c>
    </row>
    <row r="35" spans="1:16" ht="11.25">
      <c r="A35" s="2" t="s">
        <v>28</v>
      </c>
      <c r="C35" s="20">
        <f aca="true" t="shared" si="9" ref="C35:P35">C33-C34</f>
        <v>1908</v>
      </c>
      <c r="D35" s="20">
        <f t="shared" si="9"/>
        <v>1428</v>
      </c>
      <c r="E35" s="20">
        <f t="shared" si="9"/>
        <v>929</v>
      </c>
      <c r="F35" s="21">
        <f t="shared" si="9"/>
        <v>419</v>
      </c>
      <c r="G35" s="19">
        <f t="shared" si="9"/>
        <v>1990</v>
      </c>
      <c r="H35" s="19">
        <f t="shared" si="9"/>
        <v>1524</v>
      </c>
      <c r="I35" s="19">
        <f t="shared" si="9"/>
        <v>975</v>
      </c>
      <c r="J35" s="19">
        <f t="shared" si="9"/>
        <v>477</v>
      </c>
      <c r="K35" s="22">
        <f t="shared" si="9"/>
        <v>2003</v>
      </c>
      <c r="L35" s="20">
        <f t="shared" si="9"/>
        <v>1475</v>
      </c>
      <c r="M35" s="20">
        <f t="shared" si="9"/>
        <v>989</v>
      </c>
      <c r="N35" s="20">
        <f t="shared" si="9"/>
        <v>415</v>
      </c>
      <c r="O35" s="19">
        <f t="shared" si="9"/>
        <v>1747</v>
      </c>
      <c r="P35" s="19">
        <f t="shared" si="9"/>
        <v>2013</v>
      </c>
    </row>
    <row r="36" spans="1:16" ht="11.25">
      <c r="A36" s="2" t="s">
        <v>29</v>
      </c>
      <c r="C36" s="19">
        <v>841</v>
      </c>
      <c r="D36" s="19">
        <v>644</v>
      </c>
      <c r="E36" s="20">
        <v>447</v>
      </c>
      <c r="F36" s="21">
        <v>251</v>
      </c>
      <c r="G36" s="27">
        <v>820</v>
      </c>
      <c r="H36" s="19">
        <f>I36+205</f>
        <v>636</v>
      </c>
      <c r="I36" s="19">
        <f>J36+192</f>
        <v>431</v>
      </c>
      <c r="J36" s="19">
        <v>239</v>
      </c>
      <c r="K36" s="22">
        <f>187+L36</f>
        <v>867</v>
      </c>
      <c r="L36" s="20">
        <f>260+M36</f>
        <v>680</v>
      </c>
      <c r="M36" s="20">
        <f>202+N36</f>
        <v>420</v>
      </c>
      <c r="N36" s="20">
        <v>218</v>
      </c>
      <c r="O36" s="19">
        <v>840</v>
      </c>
      <c r="P36" s="19">
        <v>1002</v>
      </c>
    </row>
    <row r="37" spans="1:16" ht="11.25">
      <c r="A37" s="2" t="s">
        <v>30</v>
      </c>
      <c r="C37" s="20">
        <f aca="true" t="shared" si="10" ref="C37:P37">C35+C36</f>
        <v>2749</v>
      </c>
      <c r="D37" s="20">
        <f t="shared" si="10"/>
        <v>2072</v>
      </c>
      <c r="E37" s="20">
        <f t="shared" si="10"/>
        <v>1376</v>
      </c>
      <c r="F37" s="21">
        <f t="shared" si="10"/>
        <v>670</v>
      </c>
      <c r="G37" s="19">
        <f t="shared" si="10"/>
        <v>2810</v>
      </c>
      <c r="H37" s="19">
        <f t="shared" si="10"/>
        <v>2160</v>
      </c>
      <c r="I37" s="19">
        <f t="shared" si="10"/>
        <v>1406</v>
      </c>
      <c r="J37" s="19">
        <f t="shared" si="10"/>
        <v>716</v>
      </c>
      <c r="K37" s="22">
        <f t="shared" si="10"/>
        <v>2870</v>
      </c>
      <c r="L37" s="20">
        <f t="shared" si="10"/>
        <v>2155</v>
      </c>
      <c r="M37" s="20">
        <f t="shared" si="10"/>
        <v>1409</v>
      </c>
      <c r="N37" s="20">
        <f t="shared" si="10"/>
        <v>633</v>
      </c>
      <c r="O37" s="19">
        <f t="shared" si="10"/>
        <v>2587</v>
      </c>
      <c r="P37" s="19">
        <f t="shared" si="10"/>
        <v>3015</v>
      </c>
    </row>
    <row r="38" spans="1:16" ht="11.25">
      <c r="A38" s="2" t="s">
        <v>31</v>
      </c>
      <c r="C38" s="19">
        <v>2017</v>
      </c>
      <c r="D38" s="19">
        <v>1481</v>
      </c>
      <c r="E38" s="20">
        <v>981</v>
      </c>
      <c r="F38" s="21">
        <v>441</v>
      </c>
      <c r="G38" s="27">
        <v>1944</v>
      </c>
      <c r="H38" s="19">
        <f>I38+490</f>
        <v>1483</v>
      </c>
      <c r="I38" s="19">
        <f>J38+519</f>
        <v>993</v>
      </c>
      <c r="J38" s="19">
        <v>474</v>
      </c>
      <c r="K38" s="22">
        <f>583+L38</f>
        <v>1912</v>
      </c>
      <c r="L38" s="20">
        <f>425+M38</f>
        <v>1329</v>
      </c>
      <c r="M38" s="20">
        <f>445+N38</f>
        <v>904</v>
      </c>
      <c r="N38" s="20">
        <v>459</v>
      </c>
      <c r="O38" s="19">
        <v>1880</v>
      </c>
      <c r="P38" s="19">
        <v>1980</v>
      </c>
    </row>
    <row r="39" spans="1:16" ht="11.25">
      <c r="A39" s="2" t="s">
        <v>32</v>
      </c>
      <c r="C39" s="20">
        <f aca="true" t="shared" si="11" ref="C39:P39">C37-C38</f>
        <v>732</v>
      </c>
      <c r="D39" s="20">
        <f t="shared" si="11"/>
        <v>591</v>
      </c>
      <c r="E39" s="20">
        <f t="shared" si="11"/>
        <v>395</v>
      </c>
      <c r="F39" s="21">
        <f t="shared" si="11"/>
        <v>229</v>
      </c>
      <c r="G39" s="19">
        <f t="shared" si="11"/>
        <v>866</v>
      </c>
      <c r="H39" s="19">
        <f t="shared" si="11"/>
        <v>677</v>
      </c>
      <c r="I39" s="19">
        <f t="shared" si="11"/>
        <v>413</v>
      </c>
      <c r="J39" s="19">
        <f t="shared" si="11"/>
        <v>242</v>
      </c>
      <c r="K39" s="22">
        <f t="shared" si="11"/>
        <v>958</v>
      </c>
      <c r="L39" s="20">
        <f t="shared" si="11"/>
        <v>826</v>
      </c>
      <c r="M39" s="20">
        <f t="shared" si="11"/>
        <v>505</v>
      </c>
      <c r="N39" s="20">
        <f t="shared" si="11"/>
        <v>174</v>
      </c>
      <c r="O39" s="19">
        <f t="shared" si="11"/>
        <v>707</v>
      </c>
      <c r="P39" s="19">
        <f t="shared" si="11"/>
        <v>1035</v>
      </c>
    </row>
    <row r="40" spans="1:16" ht="11.25">
      <c r="A40" s="3" t="s">
        <v>33</v>
      </c>
      <c r="B40" s="3"/>
      <c r="C40" s="23">
        <v>493</v>
      </c>
      <c r="D40" s="23">
        <v>411</v>
      </c>
      <c r="E40" s="23">
        <v>275</v>
      </c>
      <c r="F40" s="24">
        <v>169</v>
      </c>
      <c r="G40" s="28">
        <v>626</v>
      </c>
      <c r="H40" s="23">
        <f>I40+204</f>
        <v>497</v>
      </c>
      <c r="I40" s="23">
        <f>J40+51</f>
        <v>293</v>
      </c>
      <c r="J40" s="23">
        <v>242</v>
      </c>
      <c r="K40" s="25">
        <f>-316+L40</f>
        <v>266</v>
      </c>
      <c r="L40" s="23">
        <f>261+M40</f>
        <v>582</v>
      </c>
      <c r="M40" s="23">
        <f>207+N40</f>
        <v>321</v>
      </c>
      <c r="N40" s="23">
        <v>114</v>
      </c>
      <c r="O40" s="23">
        <v>368</v>
      </c>
      <c r="P40" s="23">
        <v>438</v>
      </c>
    </row>
    <row r="41" spans="1:16" ht="11.25">
      <c r="A41" s="13" t="s">
        <v>34</v>
      </c>
      <c r="E41" s="20"/>
      <c r="F41" s="21"/>
      <c r="H41" s="19"/>
      <c r="I41" s="19"/>
      <c r="K41" s="22"/>
      <c r="L41" s="20"/>
      <c r="M41" s="20"/>
      <c r="N41" s="20"/>
      <c r="O41" s="19"/>
      <c r="P41" s="19"/>
    </row>
    <row r="42" spans="1:16" ht="11.25">
      <c r="A42" s="2" t="s">
        <v>35</v>
      </c>
      <c r="C42" s="19">
        <v>0</v>
      </c>
      <c r="D42" s="20">
        <v>0</v>
      </c>
      <c r="E42" s="20">
        <v>0</v>
      </c>
      <c r="F42" s="21">
        <v>0</v>
      </c>
      <c r="G42" s="2">
        <v>185</v>
      </c>
      <c r="H42" s="19">
        <v>185</v>
      </c>
      <c r="I42" s="19">
        <v>185</v>
      </c>
      <c r="J42" s="19">
        <v>595</v>
      </c>
      <c r="K42" s="22">
        <v>0</v>
      </c>
      <c r="L42" s="20">
        <v>0</v>
      </c>
      <c r="M42" s="20">
        <v>0</v>
      </c>
      <c r="N42" s="20">
        <v>0</v>
      </c>
      <c r="O42" s="19">
        <v>0</v>
      </c>
      <c r="P42" s="19">
        <v>0</v>
      </c>
    </row>
    <row r="43" spans="1:16" ht="11.25">
      <c r="A43" s="2" t="s">
        <v>36</v>
      </c>
      <c r="C43" s="19">
        <v>0</v>
      </c>
      <c r="D43" s="20">
        <v>0</v>
      </c>
      <c r="E43" s="20">
        <v>0</v>
      </c>
      <c r="F43" s="21">
        <v>0</v>
      </c>
      <c r="G43" s="2">
        <v>2423</v>
      </c>
      <c r="H43" s="19">
        <v>2363</v>
      </c>
      <c r="I43" s="19">
        <v>2303</v>
      </c>
      <c r="J43" s="19">
        <v>2183</v>
      </c>
      <c r="K43" s="22">
        <v>2183</v>
      </c>
      <c r="L43" s="20">
        <v>1735</v>
      </c>
      <c r="M43" s="20">
        <v>1675</v>
      </c>
      <c r="N43" s="20">
        <v>1550</v>
      </c>
      <c r="O43" s="19">
        <v>1490</v>
      </c>
      <c r="P43" s="19">
        <v>1150</v>
      </c>
    </row>
    <row r="44" spans="1:16" ht="11.25">
      <c r="A44" s="2" t="s">
        <v>37</v>
      </c>
      <c r="C44" s="29">
        <f aca="true" t="shared" si="12" ref="C44:P44">C42/C12</f>
        <v>0</v>
      </c>
      <c r="D44" s="29">
        <f t="shared" si="12"/>
        <v>0</v>
      </c>
      <c r="E44" s="29">
        <f t="shared" si="12"/>
        <v>0</v>
      </c>
      <c r="F44" s="30">
        <f t="shared" si="12"/>
        <v>0</v>
      </c>
      <c r="G44" s="31">
        <f t="shared" si="12"/>
        <v>0.0024941017863161444</v>
      </c>
      <c r="H44" s="31">
        <f t="shared" si="12"/>
        <v>0.002011547369222238</v>
      </c>
      <c r="I44" s="31">
        <f t="shared" si="12"/>
        <v>0.0024125609660676562</v>
      </c>
      <c r="J44" s="31">
        <f t="shared" si="12"/>
        <v>0.008340342024109897</v>
      </c>
      <c r="K44" s="32">
        <f t="shared" si="12"/>
        <v>0</v>
      </c>
      <c r="L44" s="29">
        <f t="shared" si="12"/>
        <v>0</v>
      </c>
      <c r="M44" s="29">
        <f t="shared" si="12"/>
        <v>0</v>
      </c>
      <c r="N44" s="29">
        <f t="shared" si="12"/>
        <v>0</v>
      </c>
      <c r="O44" s="31">
        <f t="shared" si="12"/>
        <v>0</v>
      </c>
      <c r="P44" s="31">
        <f t="shared" si="12"/>
        <v>0</v>
      </c>
    </row>
    <row r="45" spans="1:16" ht="11.25">
      <c r="A45" s="2" t="s">
        <v>38</v>
      </c>
      <c r="C45" s="29">
        <v>0</v>
      </c>
      <c r="D45" s="29">
        <v>0</v>
      </c>
      <c r="E45" s="31">
        <v>0</v>
      </c>
      <c r="F45" s="30">
        <v>0</v>
      </c>
      <c r="G45" s="31">
        <f>G43/G42</f>
        <v>13.097297297297297</v>
      </c>
      <c r="H45" s="31">
        <f>H43/H42</f>
        <v>12.772972972972973</v>
      </c>
      <c r="I45" s="31">
        <f>I43/I42</f>
        <v>12.448648648648648</v>
      </c>
      <c r="J45" s="31">
        <f>J43/J42</f>
        <v>3.66890756302521</v>
      </c>
      <c r="K45" s="32">
        <v>0</v>
      </c>
      <c r="L45" s="29">
        <v>0</v>
      </c>
      <c r="M45" s="29">
        <v>0</v>
      </c>
      <c r="N45" s="29">
        <v>0</v>
      </c>
      <c r="O45" s="31">
        <v>0</v>
      </c>
      <c r="P45" s="31">
        <v>0</v>
      </c>
    </row>
    <row r="46" spans="1:16" ht="11.25">
      <c r="A46" s="3" t="s">
        <v>39</v>
      </c>
      <c r="B46" s="3"/>
      <c r="C46" s="33">
        <f aca="true" t="shared" si="13" ref="C46:P46">C43/C12</f>
        <v>0</v>
      </c>
      <c r="D46" s="33">
        <f t="shared" si="13"/>
        <v>0</v>
      </c>
      <c r="E46" s="33">
        <f t="shared" si="13"/>
        <v>0</v>
      </c>
      <c r="F46" s="34">
        <f t="shared" si="13"/>
        <v>0</v>
      </c>
      <c r="G46" s="33">
        <f t="shared" si="13"/>
        <v>0.0326659925851028</v>
      </c>
      <c r="H46" s="33">
        <f t="shared" si="13"/>
        <v>0.025693440180930532</v>
      </c>
      <c r="I46" s="33">
        <f t="shared" si="13"/>
        <v>0.030033123810020605</v>
      </c>
      <c r="J46" s="33">
        <f t="shared" si="13"/>
        <v>0.030599943930473786</v>
      </c>
      <c r="K46" s="35">
        <f t="shared" si="13"/>
        <v>0.03329367984382626</v>
      </c>
      <c r="L46" s="33">
        <f t="shared" si="13"/>
        <v>0.022756187453274398</v>
      </c>
      <c r="M46" s="33">
        <f t="shared" si="13"/>
        <v>0.025889517450307584</v>
      </c>
      <c r="N46" s="33">
        <f t="shared" si="13"/>
        <v>0.025201203154215104</v>
      </c>
      <c r="O46" s="33">
        <f t="shared" si="13"/>
        <v>0.024758644754989116</v>
      </c>
      <c r="P46" s="33">
        <f t="shared" si="13"/>
        <v>0.021276202105418956</v>
      </c>
    </row>
    <row r="47" spans="1:14" ht="11.25">
      <c r="A47" s="13" t="s">
        <v>40</v>
      </c>
      <c r="E47" s="4"/>
      <c r="F47" s="21"/>
      <c r="K47" s="26"/>
      <c r="L47" s="4"/>
      <c r="M47" s="4"/>
      <c r="N47" s="4"/>
    </row>
    <row r="48" spans="1:16" ht="11.25">
      <c r="A48" s="2" t="s">
        <v>41</v>
      </c>
      <c r="C48" s="29">
        <f aca="true" t="shared" si="14" ref="C48:P48">C25/(C12+C15)</f>
        <v>0.11940359477124184</v>
      </c>
      <c r="D48" s="29">
        <f t="shared" si="14"/>
        <v>0.10809700981795105</v>
      </c>
      <c r="E48" s="29">
        <f t="shared" si="14"/>
        <v>0.10370756673498842</v>
      </c>
      <c r="F48" s="30">
        <f t="shared" si="14"/>
        <v>0.09276568501920615</v>
      </c>
      <c r="G48" s="31">
        <f t="shared" si="14"/>
        <v>0.09539602291877317</v>
      </c>
      <c r="H48" s="31">
        <f t="shared" si="14"/>
        <v>0.07553632202155074</v>
      </c>
      <c r="I48" s="31">
        <f t="shared" si="14"/>
        <v>0.08793458699564435</v>
      </c>
      <c r="J48" s="31">
        <f t="shared" si="14"/>
        <v>0.0812026913372582</v>
      </c>
      <c r="K48" s="32">
        <f t="shared" si="14"/>
        <v>0.08464494875549049</v>
      </c>
      <c r="L48" s="29">
        <f t="shared" si="14"/>
        <v>0.0767157696433711</v>
      </c>
      <c r="M48" s="29">
        <f t="shared" si="14"/>
        <v>0.08634346298465143</v>
      </c>
      <c r="N48" s="29">
        <f t="shared" si="14"/>
        <v>0.08745968199426228</v>
      </c>
      <c r="O48" s="31">
        <f t="shared" si="14"/>
        <v>0.08749233903695483</v>
      </c>
      <c r="P48" s="31">
        <f t="shared" si="14"/>
        <v>0.09056715096983553</v>
      </c>
    </row>
    <row r="49" spans="1:16" ht="11.25">
      <c r="A49" s="3" t="s">
        <v>42</v>
      </c>
      <c r="B49" s="3"/>
      <c r="C49" s="33">
        <f>C25/C10</f>
        <v>0.10448241349728339</v>
      </c>
      <c r="D49" s="33">
        <f>D25/D10</f>
        <v>0.10124944637404135</v>
      </c>
      <c r="E49" s="33">
        <f>E25/E10</f>
        <v>0.09553229284206058</v>
      </c>
      <c r="F49" s="34">
        <f>F25/F12</f>
        <v>0.09276568501920615</v>
      </c>
      <c r="G49" s="33">
        <f>G25/G12</f>
        <v>0.09539602291877317</v>
      </c>
      <c r="H49" s="33">
        <f aca="true" t="shared" si="15" ref="H49:P49">H25/H10</f>
        <v>0.0697567000371527</v>
      </c>
      <c r="I49" s="33">
        <f t="shared" si="15"/>
        <v>0.07967812071654772</v>
      </c>
      <c r="J49" s="33">
        <f t="shared" si="15"/>
        <v>0.07428256353704511</v>
      </c>
      <c r="K49" s="35">
        <f t="shared" si="15"/>
        <v>0.06970873054749614</v>
      </c>
      <c r="L49" s="33">
        <f t="shared" si="15"/>
        <v>0.0700589001326149</v>
      </c>
      <c r="M49" s="33">
        <f t="shared" si="15"/>
        <v>0.07718056091244696</v>
      </c>
      <c r="N49" s="33">
        <f t="shared" si="15"/>
        <v>0.07866577251654663</v>
      </c>
      <c r="O49" s="33">
        <f t="shared" si="15"/>
        <v>0.07637141783060061</v>
      </c>
      <c r="P49" s="33">
        <f t="shared" si="15"/>
        <v>0.07659202894031061</v>
      </c>
    </row>
    <row r="50" spans="1:16" ht="11.25">
      <c r="A50" s="13" t="s">
        <v>43</v>
      </c>
      <c r="E50" s="4"/>
      <c r="F50" s="21"/>
      <c r="J50" s="36"/>
      <c r="K50" s="37"/>
      <c r="L50" s="38"/>
      <c r="M50" s="38"/>
      <c r="N50" s="38"/>
      <c r="O50" s="36"/>
      <c r="P50" s="36"/>
    </row>
    <row r="51" spans="1:16" ht="11.25">
      <c r="A51" s="2" t="s">
        <v>44</v>
      </c>
      <c r="C51" s="38">
        <f aca="true" t="shared" si="16" ref="C51:P51">C11/C16</f>
        <v>0.11550551523118249</v>
      </c>
      <c r="D51" s="38">
        <f t="shared" si="16"/>
        <v>0.04388391198447756</v>
      </c>
      <c r="E51" s="38">
        <f t="shared" si="16"/>
        <v>0.05881967899876941</v>
      </c>
      <c r="F51" s="39">
        <f t="shared" si="16"/>
        <v>0.07697360146456671</v>
      </c>
      <c r="G51" s="36">
        <f t="shared" si="16"/>
        <v>0.20201539213919847</v>
      </c>
      <c r="H51" s="36">
        <f t="shared" si="16"/>
        <v>0.06424675441759826</v>
      </c>
      <c r="I51" s="36">
        <f t="shared" si="16"/>
        <v>0.07134958810195167</v>
      </c>
      <c r="J51" s="36">
        <f t="shared" si="16"/>
        <v>0.06921529761557745</v>
      </c>
      <c r="K51" s="37">
        <f t="shared" si="16"/>
        <v>0.17294295666076628</v>
      </c>
      <c r="L51" s="38">
        <f t="shared" si="16"/>
        <v>0.06765853857556677</v>
      </c>
      <c r="M51" s="38">
        <f t="shared" si="16"/>
        <v>0.0801210473508755</v>
      </c>
      <c r="N51" s="38">
        <f t="shared" si="16"/>
        <v>0.0925377679281352</v>
      </c>
      <c r="O51" s="36">
        <f t="shared" si="16"/>
        <v>0.12800266533399968</v>
      </c>
      <c r="P51" s="36">
        <f t="shared" si="16"/>
        <v>0.15442842145974917</v>
      </c>
    </row>
    <row r="52" spans="1:16" ht="11.25">
      <c r="A52" s="2" t="s">
        <v>45</v>
      </c>
      <c r="C52" s="38">
        <f aca="true" t="shared" si="17" ref="C52:P52">C11/C10</f>
        <v>0.09632065580020971</v>
      </c>
      <c r="D52" s="38">
        <f t="shared" si="17"/>
        <v>0.03716869857106226</v>
      </c>
      <c r="E52" s="38">
        <f t="shared" si="17"/>
        <v>0.05019606966897183</v>
      </c>
      <c r="F52" s="39">
        <f t="shared" si="17"/>
        <v>0.06465244031269808</v>
      </c>
      <c r="G52" s="36">
        <f t="shared" si="17"/>
        <v>0.17074391132672706</v>
      </c>
      <c r="H52" s="36">
        <f t="shared" si="17"/>
        <v>0.05724527809296207</v>
      </c>
      <c r="I52" s="36">
        <f t="shared" si="17"/>
        <v>0.06099636054261001</v>
      </c>
      <c r="J52" s="36">
        <f t="shared" si="17"/>
        <v>0.06089554535429436</v>
      </c>
      <c r="K52" s="37">
        <f t="shared" si="17"/>
        <v>0.15216599469962444</v>
      </c>
      <c r="L52" s="38">
        <f t="shared" si="17"/>
        <v>0.05943776060023178</v>
      </c>
      <c r="M52" s="38">
        <f t="shared" si="17"/>
        <v>0.06819934982643672</v>
      </c>
      <c r="N52" s="38">
        <f t="shared" si="17"/>
        <v>0.07974458407440883</v>
      </c>
      <c r="O52" s="36">
        <f t="shared" si="17"/>
        <v>0.11110147190653827</v>
      </c>
      <c r="P52" s="36">
        <f t="shared" si="17"/>
        <v>0.1307459614545001</v>
      </c>
    </row>
    <row r="53" spans="1:16" ht="11.25">
      <c r="A53" s="3" t="s">
        <v>46</v>
      </c>
      <c r="B53" s="3"/>
      <c r="C53" s="40">
        <f aca="true" t="shared" si="18" ref="C53:P53">(C11+C15)/C16</f>
        <v>0.11550551523118249</v>
      </c>
      <c r="D53" s="40">
        <f t="shared" si="18"/>
        <v>0.04388391198447756</v>
      </c>
      <c r="E53" s="40">
        <f t="shared" si="18"/>
        <v>0.05881967899876941</v>
      </c>
      <c r="F53" s="41">
        <f t="shared" si="18"/>
        <v>0.07697360146456671</v>
      </c>
      <c r="G53" s="40">
        <f t="shared" si="18"/>
        <v>0.20201539213919847</v>
      </c>
      <c r="H53" s="40">
        <f t="shared" si="18"/>
        <v>0.06424675441759826</v>
      </c>
      <c r="I53" s="40">
        <f t="shared" si="18"/>
        <v>0.07134958810195167</v>
      </c>
      <c r="J53" s="40">
        <f t="shared" si="18"/>
        <v>0.06921529761557745</v>
      </c>
      <c r="K53" s="42">
        <f t="shared" si="18"/>
        <v>0.17294295666076628</v>
      </c>
      <c r="L53" s="40">
        <f t="shared" si="18"/>
        <v>0.07031048129360405</v>
      </c>
      <c r="M53" s="40">
        <f t="shared" si="18"/>
        <v>0.083260510729197</v>
      </c>
      <c r="N53" s="40">
        <f t="shared" si="18"/>
        <v>0.09578589433438785</v>
      </c>
      <c r="O53" s="40">
        <f t="shared" si="18"/>
        <v>0.13116774945860404</v>
      </c>
      <c r="P53" s="40">
        <f t="shared" si="18"/>
        <v>0.1578356078604711</v>
      </c>
    </row>
    <row r="54" spans="1:14" ht="11.25">
      <c r="A54" s="13" t="s">
        <v>47</v>
      </c>
      <c r="E54" s="4"/>
      <c r="F54" s="21"/>
      <c r="K54" s="26"/>
      <c r="L54" s="4"/>
      <c r="M54" s="4"/>
      <c r="N54" s="4"/>
    </row>
    <row r="55" spans="1:16" ht="11.25">
      <c r="A55" s="2" t="s">
        <v>48</v>
      </c>
      <c r="B55" s="4"/>
      <c r="C55" s="43">
        <f>C40/C28</f>
        <v>0.006679537987331911</v>
      </c>
      <c r="D55" s="29">
        <f>(D40/0.75)/D28</f>
        <v>0.006359817097230927</v>
      </c>
      <c r="E55" s="29">
        <f>(E40/0.5)/E28</f>
        <v>0.0069123700003141985</v>
      </c>
      <c r="F55" s="30">
        <f>(F40/0.25)/F28</f>
        <v>0.00904710920770878</v>
      </c>
      <c r="G55" s="43">
        <f>G40/G28</f>
        <v>0.008959303864952091</v>
      </c>
      <c r="H55" s="43">
        <f>(H40/0.75)/H28</f>
        <v>0.00786982330504868</v>
      </c>
      <c r="I55" s="31">
        <f>(I40/0.5)/I28</f>
        <v>0.008278356195346602</v>
      </c>
      <c r="J55" s="31">
        <f>((J40)/0.25)/J28</f>
        <v>0.014552342581387132</v>
      </c>
      <c r="K55" s="44">
        <f>K40/K28</f>
        <v>0.004116117850953206</v>
      </c>
      <c r="L55" s="43">
        <f>(L40/0.75)/L28</f>
        <v>0.01113406795224977</v>
      </c>
      <c r="M55" s="43">
        <f>(M40/0.5)/M28</f>
        <v>0.009970337469522137</v>
      </c>
      <c r="N55" s="29">
        <f>((N40)/0.25)/N28</f>
        <v>0.007754904211627255</v>
      </c>
      <c r="O55" s="31">
        <f>O40/O28</f>
        <v>0.006421946303454414</v>
      </c>
      <c r="P55" s="31">
        <f>P40/P28</f>
        <v>0.008940326383148097</v>
      </c>
    </row>
    <row r="56" spans="1:16" ht="11.25">
      <c r="A56" s="2" t="s">
        <v>49</v>
      </c>
      <c r="B56" s="4"/>
      <c r="C56" s="43">
        <f>C40/C27</f>
        <v>0.005606700746612381</v>
      </c>
      <c r="D56" s="29">
        <f>(D40/0.75)/D27</f>
        <v>0.005911957149098912</v>
      </c>
      <c r="E56" s="29">
        <f>(E40/0.5)/E27</f>
        <v>0.006316865456508381</v>
      </c>
      <c r="F56" s="30">
        <f>(F40/0.25)/F27</f>
        <v>0.008285329084446623</v>
      </c>
      <c r="G56" s="43">
        <f>G40/G27</f>
        <v>0.007298163800641212</v>
      </c>
      <c r="H56" s="43">
        <f>(H40/0.75)/H27</f>
        <v>0.007230800007274447</v>
      </c>
      <c r="I56" s="31">
        <f>(I40/0.5)/I27</f>
        <v>0.007454332671856714</v>
      </c>
      <c r="J56" s="31">
        <f>((J40)/0.25)/J27</f>
        <v>0.013207804611816074</v>
      </c>
      <c r="K56" s="44">
        <f>K40/K27</f>
        <v>0.003575773462652659</v>
      </c>
      <c r="L56" s="43">
        <f>(L40/0.75)/L27</f>
        <v>0.01015401122698664</v>
      </c>
      <c r="M56" s="43">
        <f>(M40/0.5)/M27</f>
        <v>0.009074012565104627</v>
      </c>
      <c r="N56" s="29">
        <f>((N40)/0.25)/N27</f>
        <v>0.006973916634167603</v>
      </c>
      <c r="O56" s="31">
        <f>O40/O27</f>
        <v>0.005521628880519753</v>
      </c>
      <c r="P56" s="31">
        <f>P40/P27</f>
        <v>0.006516838886781083</v>
      </c>
    </row>
    <row r="57" spans="1:16" ht="11.25">
      <c r="A57" s="2" t="s">
        <v>50</v>
      </c>
      <c r="B57" s="4"/>
      <c r="C57" s="43">
        <f>+C40/C31</f>
        <v>0.062227832123698326</v>
      </c>
      <c r="D57" s="29">
        <f>(D40/0.75)/D31</f>
        <v>0.07010362031469873</v>
      </c>
      <c r="E57" s="29">
        <f>(E40/0.5)/E31</f>
        <v>0.07192363018177063</v>
      </c>
      <c r="F57" s="30">
        <f>(F40/0.25)/F31</f>
        <v>0.10369688602546402</v>
      </c>
      <c r="G57" s="43">
        <f>+G40/G31</f>
        <v>0.09916046253762079</v>
      </c>
      <c r="H57" s="43">
        <f>(H40/0.75)/H31</f>
        <v>0.10345276194936642</v>
      </c>
      <c r="I57" s="31">
        <f>(I40/0.5)/I31</f>
        <v>0.09492953183217237</v>
      </c>
      <c r="J57" s="31">
        <f>((J40)/0.25)/J31</f>
        <v>0.17302708016802215</v>
      </c>
      <c r="K57" s="44">
        <f>+K40/K31</f>
        <v>0.04911373707533235</v>
      </c>
      <c r="L57" s="43">
        <f>(L40/0.75)/L31</f>
        <v>0.13862093604858877</v>
      </c>
      <c r="M57" s="43">
        <f>(M40/0.5)/M31</f>
        <v>0.11871301775147929</v>
      </c>
      <c r="N57" s="29">
        <f>((N40)/0.25)/N31</f>
        <v>0.08698969858832507</v>
      </c>
      <c r="O57" s="31">
        <f>O40/O31</f>
        <v>0.07219933294094566</v>
      </c>
      <c r="P57" s="31">
        <f>P40/P31</f>
        <v>0.09333049222245898</v>
      </c>
    </row>
    <row r="58" spans="1:16" ht="11.25">
      <c r="A58" s="2" t="s">
        <v>51</v>
      </c>
      <c r="B58" s="4"/>
      <c r="C58" s="43">
        <f>C33/C28</f>
        <v>0.07974799309013311</v>
      </c>
      <c r="D58" s="29">
        <f>(D33/0.75)/D28</f>
        <v>0.0686272234214578</v>
      </c>
      <c r="E58" s="29">
        <f>(E33/0.5)/E28</f>
        <v>0.07412574229427844</v>
      </c>
      <c r="F58" s="30">
        <f>(F33/0.25)/F28</f>
        <v>0.07842612419700214</v>
      </c>
      <c r="G58" s="43">
        <f>G33/G28</f>
        <v>0.10320373829100563</v>
      </c>
      <c r="H58" s="43">
        <f>(H33/0.75)/H28</f>
        <v>0.0845570552292957</v>
      </c>
      <c r="I58" s="31">
        <f>(I33/0.5)/I28</f>
        <v>0.09702346476047861</v>
      </c>
      <c r="J58" s="31">
        <f>((J33)/0.25)/J28</f>
        <v>0.10312920465735097</v>
      </c>
      <c r="K58" s="44">
        <f>K33/K28</f>
        <v>0.10675600396137658</v>
      </c>
      <c r="L58" s="43">
        <f>(L33/0.75)/L28</f>
        <v>0.09502219161310071</v>
      </c>
      <c r="M58" s="43">
        <f>(M33/0.5)/M28</f>
        <v>0.09700113369880883</v>
      </c>
      <c r="N58" s="29">
        <f>((N33)/0.25)/N28</f>
        <v>0.09938521976480191</v>
      </c>
      <c r="O58" s="31">
        <f>O33/O28</f>
        <v>0.10112820333836502</v>
      </c>
      <c r="P58" s="31">
        <f>P33/P27</f>
        <v>0.08660849123276869</v>
      </c>
    </row>
    <row r="59" spans="1:16" ht="11.25">
      <c r="A59" s="2" t="s">
        <v>52</v>
      </c>
      <c r="B59" s="4"/>
      <c r="C59" s="43">
        <f>C34/C28</f>
        <v>0.05389696169088507</v>
      </c>
      <c r="D59" s="29">
        <f>(D34/0.75)/D28</f>
        <v>0.04653034066027591</v>
      </c>
      <c r="E59" s="29">
        <f>(E34/0.5)/E28</f>
        <v>0.05077449963867157</v>
      </c>
      <c r="F59" s="30">
        <f>(F34/0.25)/F28</f>
        <v>0.05599571734475375</v>
      </c>
      <c r="G59" s="43">
        <f>G34/G28</f>
        <v>0.07472288415162119</v>
      </c>
      <c r="H59" s="43">
        <f>(H34/0.75)/H28</f>
        <v>0.060425041714418044</v>
      </c>
      <c r="I59" s="31">
        <f>(I34/0.5)/I28</f>
        <v>0.06947603373500784</v>
      </c>
      <c r="J59" s="31">
        <f>((J34)/0.25)/J28</f>
        <v>0.07444545502379038</v>
      </c>
      <c r="K59" s="44">
        <f>K34/K28</f>
        <v>0.07576132706115375</v>
      </c>
      <c r="L59" s="43">
        <f>(L34/0.75)/L28</f>
        <v>0.06680440771349862</v>
      </c>
      <c r="M59" s="43">
        <f>(M34/0.5)/M28</f>
        <v>0.06628255501545247</v>
      </c>
      <c r="N59" s="29">
        <f>((N34)/0.25)/N28</f>
        <v>0.07115464741545709</v>
      </c>
      <c r="O59" s="31">
        <f>O34/O28</f>
        <v>0.07064140933799855</v>
      </c>
      <c r="P59" s="31">
        <f>P34/P27</f>
        <v>0.05665781388324741</v>
      </c>
    </row>
    <row r="60" spans="1:16" ht="11.25">
      <c r="A60" s="2" t="s">
        <v>53</v>
      </c>
      <c r="B60" s="4"/>
      <c r="C60" s="43">
        <f>C35/C28</f>
        <v>0.025851031399248044</v>
      </c>
      <c r="D60" s="29">
        <f>(D35/0.75)/D28</f>
        <v>0.022096882761181904</v>
      </c>
      <c r="E60" s="29">
        <f>(E35/0.5)/E28</f>
        <v>0.023351242655606876</v>
      </c>
      <c r="F60" s="30">
        <f>(F35/0.25)/F28</f>
        <v>0.022430406852248393</v>
      </c>
      <c r="G60" s="43">
        <f>G35/G28</f>
        <v>0.02848085413938444</v>
      </c>
      <c r="H60" s="43">
        <f>(H35/0.75)/H28</f>
        <v>0.024132013514877648</v>
      </c>
      <c r="I60" s="31">
        <f>(I35/0.5)/I28</f>
        <v>0.02754743102547078</v>
      </c>
      <c r="J60" s="31">
        <f>((J35)/0.25)/J28</f>
        <v>0.028683749633560587</v>
      </c>
      <c r="K60" s="44">
        <f>K35/K28</f>
        <v>0.03099467690022283</v>
      </c>
      <c r="L60" s="43">
        <f>(L35/0.75)/L28</f>
        <v>0.028217783899602084</v>
      </c>
      <c r="M60" s="43">
        <f>(M35/0.5)/M28</f>
        <v>0.03071857868335637</v>
      </c>
      <c r="N60" s="29">
        <f>((N35)/0.25)/N28</f>
        <v>0.02823057234934483</v>
      </c>
      <c r="O60" s="31">
        <f>O35/O28</f>
        <v>0.03048679400036647</v>
      </c>
      <c r="P60" s="31">
        <f>P35/P27</f>
        <v>0.02995067734952128</v>
      </c>
    </row>
    <row r="61" spans="1:16" ht="11.25">
      <c r="A61" s="2" t="s">
        <v>54</v>
      </c>
      <c r="B61" s="4"/>
      <c r="C61" s="43">
        <f>C38/C37</f>
        <v>0.7337213532193525</v>
      </c>
      <c r="D61" s="29">
        <f>(D38/0.75)/(D37/0.75)</f>
        <v>0.7147683397683399</v>
      </c>
      <c r="E61" s="29">
        <f>(E38/0.5)/(E37/0.5)</f>
        <v>0.7129360465116279</v>
      </c>
      <c r="F61" s="30">
        <f>(F38/0.25)/(F37/0.25)</f>
        <v>0.6582089552238806</v>
      </c>
      <c r="G61" s="43">
        <f>G38/G37</f>
        <v>0.691814946619217</v>
      </c>
      <c r="H61" s="43">
        <f>(H38/0.75)/(H37/0.75)</f>
        <v>0.686574074074074</v>
      </c>
      <c r="I61" s="31">
        <f>(I38/0.5)/(I37/0.5)</f>
        <v>0.7062588904694168</v>
      </c>
      <c r="J61" s="31">
        <f>(J38/0.25)/(J37/0.25)</f>
        <v>0.6620111731843575</v>
      </c>
      <c r="K61" s="44">
        <f>K38/K37</f>
        <v>0.6662020905923345</v>
      </c>
      <c r="L61" s="43">
        <f>(L38/0.75)/(L37/0.75)</f>
        <v>0.6167053364269142</v>
      </c>
      <c r="M61" s="43">
        <f>(M38/0.5)/(M37/0.5)</f>
        <v>0.6415897799858056</v>
      </c>
      <c r="N61" s="29">
        <f>(N38/0.25)/(N37/0.25)</f>
        <v>0.7251184834123223</v>
      </c>
      <c r="O61" s="31">
        <f>O38/O37</f>
        <v>0.7267104754541941</v>
      </c>
      <c r="P61" s="31">
        <f>P38/P37</f>
        <v>0.6567164179104478</v>
      </c>
    </row>
    <row r="62" spans="1:16" ht="11.25">
      <c r="A62" s="3" t="s">
        <v>55</v>
      </c>
      <c r="B62" s="3"/>
      <c r="C62" s="45">
        <f>C36/C28</f>
        <v>0.01139450597838973</v>
      </c>
      <c r="D62" s="33">
        <f>(D36/0.75)/D28</f>
        <v>0.009965260853082036</v>
      </c>
      <c r="E62" s="33">
        <f>(E36/0.5)/E28</f>
        <v>0.011235743236874351</v>
      </c>
      <c r="F62" s="34">
        <f>(F36/0.25)/F28</f>
        <v>0.013436830835117774</v>
      </c>
      <c r="G62" s="45">
        <f>G36/G28</f>
        <v>0.011735829343866955</v>
      </c>
      <c r="H62" s="45">
        <f>(H36/0.75)/H28</f>
        <v>0.010070840285736342</v>
      </c>
      <c r="I62" s="33">
        <f>(I36/0.5)/I28</f>
        <v>0.012177377202028621</v>
      </c>
      <c r="J62" s="33">
        <f>(J36/0.25)/J28</f>
        <v>0.014371941640295557</v>
      </c>
      <c r="K62" s="46">
        <f>K36/K28</f>
        <v>0.013416068333745977</v>
      </c>
      <c r="L62" s="45">
        <f>(L36/0.75)/L28</f>
        <v>0.01300887664524028</v>
      </c>
      <c r="M62" s="45">
        <f>(M36/0.5)/M28</f>
        <v>0.013045301361991583</v>
      </c>
      <c r="N62" s="33">
        <f>(N36/0.25)/N28</f>
        <v>0.014829553667848609</v>
      </c>
      <c r="O62" s="33">
        <f>O36/O28</f>
        <v>0.014658790475276379</v>
      </c>
      <c r="P62" s="33">
        <f>P36/P27</f>
        <v>0.014908384850581382</v>
      </c>
    </row>
    <row r="63" spans="1:14" ht="11.25">
      <c r="A63" s="13" t="s">
        <v>56</v>
      </c>
      <c r="E63" s="4"/>
      <c r="F63" s="21"/>
      <c r="K63" s="26"/>
      <c r="L63" s="4"/>
      <c r="M63" s="4"/>
      <c r="N63" s="4"/>
    </row>
    <row r="64" spans="1:16" ht="11.25">
      <c r="A64" s="2" t="s">
        <v>57</v>
      </c>
      <c r="C64" s="19">
        <v>20</v>
      </c>
      <c r="D64" s="19">
        <v>20</v>
      </c>
      <c r="E64" s="4">
        <v>19</v>
      </c>
      <c r="F64" s="21">
        <v>17</v>
      </c>
      <c r="G64" s="2">
        <v>17</v>
      </c>
      <c r="H64" s="19">
        <v>19</v>
      </c>
      <c r="I64" s="19">
        <v>18</v>
      </c>
      <c r="J64" s="19">
        <v>17</v>
      </c>
      <c r="K64" s="22">
        <v>18</v>
      </c>
      <c r="L64" s="20">
        <v>18</v>
      </c>
      <c r="M64" s="20">
        <v>18</v>
      </c>
      <c r="N64" s="20">
        <v>17</v>
      </c>
      <c r="O64" s="19">
        <v>18</v>
      </c>
      <c r="P64" s="19">
        <v>16</v>
      </c>
    </row>
    <row r="65" spans="1:16" ht="11.25">
      <c r="A65" s="2" t="s">
        <v>58</v>
      </c>
      <c r="C65" s="19">
        <v>1</v>
      </c>
      <c r="D65" s="19">
        <v>1</v>
      </c>
      <c r="E65" s="4">
        <v>1</v>
      </c>
      <c r="F65" s="21">
        <v>1</v>
      </c>
      <c r="G65" s="2">
        <v>1</v>
      </c>
      <c r="H65" s="19">
        <v>1</v>
      </c>
      <c r="I65" s="19">
        <v>1</v>
      </c>
      <c r="J65" s="19">
        <v>1</v>
      </c>
      <c r="K65" s="22">
        <v>1</v>
      </c>
      <c r="L65" s="20">
        <v>1</v>
      </c>
      <c r="M65" s="20">
        <v>1</v>
      </c>
      <c r="N65" s="20">
        <v>1</v>
      </c>
      <c r="O65" s="19">
        <v>1</v>
      </c>
      <c r="P65" s="19">
        <v>1</v>
      </c>
    </row>
    <row r="66" spans="1:16" ht="11.25">
      <c r="A66" s="2" t="s">
        <v>59</v>
      </c>
      <c r="C66" s="20">
        <f aca="true" t="shared" si="19" ref="C66:P66">C12/C64</f>
        <v>3672</v>
      </c>
      <c r="D66" s="20">
        <f t="shared" si="19"/>
        <v>4018.15</v>
      </c>
      <c r="E66" s="20">
        <f t="shared" si="19"/>
        <v>4339.631578947368</v>
      </c>
      <c r="F66" s="21">
        <f t="shared" si="19"/>
        <v>4594.117647058823</v>
      </c>
      <c r="G66" s="19">
        <f t="shared" si="19"/>
        <v>4363.235294117647</v>
      </c>
      <c r="H66" s="19">
        <f t="shared" si="19"/>
        <v>4840.473684210527</v>
      </c>
      <c r="I66" s="19">
        <f t="shared" si="19"/>
        <v>4260.111111111111</v>
      </c>
      <c r="J66" s="19">
        <f t="shared" si="19"/>
        <v>4196.470588235294</v>
      </c>
      <c r="K66" s="22">
        <f t="shared" si="19"/>
        <v>3642.6666666666665</v>
      </c>
      <c r="L66" s="20">
        <f t="shared" si="19"/>
        <v>4235.722222222223</v>
      </c>
      <c r="M66" s="20">
        <f t="shared" si="19"/>
        <v>3594.3333333333335</v>
      </c>
      <c r="N66" s="20">
        <f t="shared" si="19"/>
        <v>3617.9411764705883</v>
      </c>
      <c r="O66" s="19">
        <f t="shared" si="19"/>
        <v>3343.3888888888887</v>
      </c>
      <c r="P66" s="19">
        <f t="shared" si="19"/>
        <v>3378.1875</v>
      </c>
    </row>
    <row r="67" spans="1:16" ht="11.25">
      <c r="A67" s="2" t="s">
        <v>60</v>
      </c>
      <c r="C67" s="20">
        <f aca="true" t="shared" si="20" ref="C67:P67">C16/C64</f>
        <v>3499.4</v>
      </c>
      <c r="D67" s="20">
        <f t="shared" si="20"/>
        <v>3633.45</v>
      </c>
      <c r="E67" s="20">
        <f t="shared" si="20"/>
        <v>4020.315789473684</v>
      </c>
      <c r="F67" s="21">
        <f t="shared" si="20"/>
        <v>4209.235294117647</v>
      </c>
      <c r="G67" s="19">
        <f t="shared" si="20"/>
        <v>4570.705882352941</v>
      </c>
      <c r="H67" s="19">
        <f t="shared" si="20"/>
        <v>4670.315789473684</v>
      </c>
      <c r="I67" s="19">
        <f t="shared" si="20"/>
        <v>4019.3333333333335</v>
      </c>
      <c r="J67" s="19">
        <f t="shared" si="20"/>
        <v>4036</v>
      </c>
      <c r="K67" s="22">
        <f t="shared" si="20"/>
        <v>3891.777777777778</v>
      </c>
      <c r="L67" s="20">
        <f t="shared" si="20"/>
        <v>4085.0555555555557</v>
      </c>
      <c r="M67" s="20">
        <f t="shared" si="20"/>
        <v>3433</v>
      </c>
      <c r="N67" s="20">
        <f t="shared" si="20"/>
        <v>3477.1176470588234</v>
      </c>
      <c r="O67" s="19">
        <f t="shared" si="20"/>
        <v>3335</v>
      </c>
      <c r="P67" s="19">
        <f t="shared" si="20"/>
        <v>3393.5625</v>
      </c>
    </row>
    <row r="68" spans="1:16" ht="11.25">
      <c r="A68" s="3" t="s">
        <v>61</v>
      </c>
      <c r="B68" s="3"/>
      <c r="C68" s="23">
        <f aca="true" t="shared" si="21" ref="C68:P68">(C40/C64)</f>
        <v>24.65</v>
      </c>
      <c r="D68" s="23">
        <f t="shared" si="21"/>
        <v>20.55</v>
      </c>
      <c r="E68" s="23">
        <f t="shared" si="21"/>
        <v>14.473684210526315</v>
      </c>
      <c r="F68" s="24">
        <f t="shared" si="21"/>
        <v>9.941176470588236</v>
      </c>
      <c r="G68" s="23">
        <f t="shared" si="21"/>
        <v>36.8235294117647</v>
      </c>
      <c r="H68" s="23">
        <f t="shared" si="21"/>
        <v>26.157894736842106</v>
      </c>
      <c r="I68" s="23">
        <f t="shared" si="21"/>
        <v>16.27777777777778</v>
      </c>
      <c r="J68" s="23">
        <f t="shared" si="21"/>
        <v>14.235294117647058</v>
      </c>
      <c r="K68" s="25">
        <f t="shared" si="21"/>
        <v>14.777777777777779</v>
      </c>
      <c r="L68" s="23">
        <f t="shared" si="21"/>
        <v>32.333333333333336</v>
      </c>
      <c r="M68" s="23">
        <f t="shared" si="21"/>
        <v>17.833333333333332</v>
      </c>
      <c r="N68" s="23">
        <f t="shared" si="21"/>
        <v>6.705882352941177</v>
      </c>
      <c r="O68" s="23">
        <f t="shared" si="21"/>
        <v>20.444444444444443</v>
      </c>
      <c r="P68" s="23">
        <f t="shared" si="21"/>
        <v>27.375</v>
      </c>
    </row>
    <row r="69" spans="1:14" ht="11.25">
      <c r="A69" s="13" t="s">
        <v>62</v>
      </c>
      <c r="E69" s="4"/>
      <c r="F69" s="21"/>
      <c r="K69" s="26"/>
      <c r="L69" s="4"/>
      <c r="M69" s="4"/>
      <c r="N69" s="4"/>
    </row>
    <row r="70" spans="1:16" ht="11.25">
      <c r="A70" s="2" t="s">
        <v>63</v>
      </c>
      <c r="C70" s="29">
        <f aca="true" t="shared" si="22" ref="C70:K70">(C10/G10)-1</f>
        <v>-0.08707428235780401</v>
      </c>
      <c r="D70" s="29">
        <f t="shared" si="22"/>
        <v>-0.13847914930363792</v>
      </c>
      <c r="E70" s="29">
        <f t="shared" si="22"/>
        <v>0.057675946495249875</v>
      </c>
      <c r="F70" s="21">
        <f t="shared" si="22"/>
        <v>0.09242684584412597</v>
      </c>
      <c r="G70" s="31">
        <f t="shared" si="22"/>
        <v>0.1546905811572905</v>
      </c>
      <c r="H70" s="31">
        <f t="shared" si="22"/>
        <v>0.18981852068673022</v>
      </c>
      <c r="I70" s="31">
        <f t="shared" si="22"/>
        <v>0.16573915918232407</v>
      </c>
      <c r="J70" s="31">
        <f t="shared" si="22"/>
        <v>0.1369215966411057</v>
      </c>
      <c r="K70" s="32">
        <f t="shared" si="22"/>
        <v>0.15116682571354212</v>
      </c>
      <c r="L70" s="29">
        <f>(L10/69145)-1</f>
        <v>0.21051413695856525</v>
      </c>
      <c r="M70" s="29">
        <f>(M10/68907)-1</f>
        <v>0.05353592523255979</v>
      </c>
      <c r="N70" s="29">
        <f>(N10/62178)-1</f>
        <v>0.10318762263179893</v>
      </c>
      <c r="O70" s="31">
        <f>(O10/P10)-1</f>
        <v>0.07843198403293217</v>
      </c>
      <c r="P70" s="31">
        <f>(P10/70288)-1</f>
        <v>-0.08758251764170266</v>
      </c>
    </row>
    <row r="71" spans="1:16" ht="11.25">
      <c r="A71" s="2" t="s">
        <v>64</v>
      </c>
      <c r="C71" s="29">
        <f aca="true" t="shared" si="23" ref="C71:I73">(C12/G12)-1</f>
        <v>-0.009908998988877649</v>
      </c>
      <c r="D71" s="29">
        <f t="shared" si="23"/>
        <v>-0.12619469603888267</v>
      </c>
      <c r="E71" s="29">
        <f t="shared" si="23"/>
        <v>0.07525886127122394</v>
      </c>
      <c r="F71" s="21">
        <f t="shared" si="23"/>
        <v>0.09475749929913091</v>
      </c>
      <c r="G71" s="31">
        <f t="shared" si="23"/>
        <v>0.13126830161054182</v>
      </c>
      <c r="H71" s="31">
        <f t="shared" si="23"/>
        <v>0.20626155843815175</v>
      </c>
      <c r="I71" s="31">
        <f t="shared" si="23"/>
        <v>0.18522983708924534</v>
      </c>
      <c r="J71" s="31">
        <f>J12/N12-1</f>
        <v>0.1599056987236811</v>
      </c>
      <c r="K71" s="32">
        <f>(K12/O12)-1</f>
        <v>0.08951330154035331</v>
      </c>
      <c r="L71" s="29">
        <f>L12/62765-1</f>
        <v>0.21473751294511279</v>
      </c>
      <c r="M71" s="29">
        <f>M12/63702-1</f>
        <v>0.01563530187435247</v>
      </c>
      <c r="N71" s="29">
        <f>N12/55720-1</f>
        <v>0.10382268485283563</v>
      </c>
      <c r="O71" s="31">
        <f>(O12/P12)-1</f>
        <v>0.11341140774453762</v>
      </c>
      <c r="P71" s="31">
        <f>P12/43545-1</f>
        <v>0.24126765415087847</v>
      </c>
    </row>
    <row r="72" spans="2:16" ht="11.25">
      <c r="B72" s="2" t="s">
        <v>15</v>
      </c>
      <c r="C72" s="29">
        <f t="shared" si="23"/>
        <v>-0.01392690062421631</v>
      </c>
      <c r="D72" s="29">
        <f t="shared" si="23"/>
        <v>-0.1127296107840855</v>
      </c>
      <c r="E72" s="29">
        <f t="shared" si="23"/>
        <v>0.06759636644556322</v>
      </c>
      <c r="F72" s="21">
        <f t="shared" si="23"/>
        <v>0.12042004992396627</v>
      </c>
      <c r="G72" s="31">
        <f t="shared" si="23"/>
        <v>0.1578314757578596</v>
      </c>
      <c r="H72" s="31">
        <f t="shared" si="23"/>
        <v>0.20689562902211578</v>
      </c>
      <c r="I72" s="31">
        <f t="shared" si="23"/>
        <v>0.1879806322984905</v>
      </c>
      <c r="J72" s="31">
        <f>(J13/N13)-1</f>
        <v>0.16205718096190713</v>
      </c>
      <c r="K72" s="32">
        <f>(K13/O13)-1</f>
        <v>0.13020006351222602</v>
      </c>
      <c r="L72" s="29">
        <f>(L13/59541)-1</f>
        <v>0.25531986362338555</v>
      </c>
      <c r="M72" s="29">
        <f>(M13/60429)-1</f>
        <v>0.04582237005411316</v>
      </c>
      <c r="N72" s="29">
        <f>(N13/52288)-1</f>
        <v>0.14720394736842102</v>
      </c>
      <c r="O72" s="31">
        <f>(O13/P13)-1</f>
        <v>0.10454625172944643</v>
      </c>
      <c r="P72" s="31">
        <f>(P13/43010)-1</f>
        <v>0.1931411299697745</v>
      </c>
    </row>
    <row r="73" spans="2:16" ht="11.25">
      <c r="B73" s="2" t="s">
        <v>16</v>
      </c>
      <c r="C73" s="29">
        <f t="shared" si="23"/>
        <v>149</v>
      </c>
      <c r="D73" s="29">
        <f t="shared" si="23"/>
        <v>-0.8155505107832008</v>
      </c>
      <c r="E73" s="29">
        <f t="shared" si="23"/>
        <v>0.4339152119700749</v>
      </c>
      <c r="F73" s="21">
        <f t="shared" si="23"/>
        <v>-1</v>
      </c>
      <c r="G73" s="31">
        <f t="shared" si="23"/>
        <v>-0.99867197875166</v>
      </c>
      <c r="H73" s="31">
        <f t="shared" si="23"/>
        <v>0.17466666666666675</v>
      </c>
      <c r="I73" s="31">
        <f t="shared" si="23"/>
        <v>0.06933333333333325</v>
      </c>
      <c r="J73" s="31">
        <f>(J14/N14)-1</f>
        <v>0.07499999999999996</v>
      </c>
      <c r="K73" s="32">
        <f>(K14/O14)-1</f>
        <v>-0.5695913118033724</v>
      </c>
      <c r="L73" s="29">
        <f>(L14/3224)-1</f>
        <v>-0.5347394540942928</v>
      </c>
      <c r="M73" s="29">
        <f>(M14/3273)-1</f>
        <v>-0.541704857928506</v>
      </c>
      <c r="N73" s="29">
        <f>(N14/3433)-1</f>
        <v>-0.5572385668511506</v>
      </c>
      <c r="O73" s="31">
        <f>(O14/P14)-1</f>
        <v>0.2798098024871982</v>
      </c>
      <c r="P73" s="31">
        <f>(P14/536)-1</f>
        <v>4.100746268656716</v>
      </c>
    </row>
    <row r="74" spans="1:16" ht="11.25">
      <c r="A74" s="2" t="s">
        <v>65</v>
      </c>
      <c r="C74" s="29">
        <f aca="true" t="shared" si="24" ref="C74:K75">(C16/G16)-1</f>
        <v>-0.0992767238938509</v>
      </c>
      <c r="D74" s="29">
        <f t="shared" si="24"/>
        <v>-0.18106518211323475</v>
      </c>
      <c r="E74" s="29">
        <f t="shared" si="24"/>
        <v>0.05581356775584667</v>
      </c>
      <c r="F74" s="21">
        <f t="shared" si="24"/>
        <v>0.04292252084183534</v>
      </c>
      <c r="G74" s="31">
        <f t="shared" si="24"/>
        <v>0.10920459087534984</v>
      </c>
      <c r="H74" s="31">
        <f t="shared" si="24"/>
        <v>0.2067835334756769</v>
      </c>
      <c r="I74" s="31">
        <f t="shared" si="24"/>
        <v>0.1707932809010584</v>
      </c>
      <c r="J74" s="31">
        <f t="shared" si="24"/>
        <v>0.16073150513440804</v>
      </c>
      <c r="K74" s="32">
        <f t="shared" si="24"/>
        <v>0.16694985840413135</v>
      </c>
      <c r="L74" s="29">
        <f>L16/59506-1</f>
        <v>0.23569051860316614</v>
      </c>
      <c r="M74" s="29">
        <f>M16/60260-1</f>
        <v>0.025456355791569907</v>
      </c>
      <c r="N74" s="29">
        <f>N16/53590-1</f>
        <v>0.1030229520432917</v>
      </c>
      <c r="O74" s="31">
        <f>(O16/P16)-1</f>
        <v>0.10558594397480525</v>
      </c>
      <c r="P74" s="31">
        <f>P16/61462-1</f>
        <v>-0.11657609579903028</v>
      </c>
    </row>
    <row r="75" spans="2:16" ht="11.25">
      <c r="B75" s="2" t="s">
        <v>15</v>
      </c>
      <c r="C75" s="29">
        <f t="shared" si="24"/>
        <v>-0.013111279333838044</v>
      </c>
      <c r="D75" s="29">
        <f t="shared" si="24"/>
        <v>-0.23702306416225183</v>
      </c>
      <c r="E75" s="29">
        <f t="shared" si="24"/>
        <v>-0.05887134231305158</v>
      </c>
      <c r="F75" s="21">
        <f t="shared" si="24"/>
        <v>0.16596261309207017</v>
      </c>
      <c r="G75" s="31">
        <f t="shared" si="24"/>
        <v>-0.002732859235101359</v>
      </c>
      <c r="H75" s="31">
        <f t="shared" si="24"/>
        <v>0.28598709677419354</v>
      </c>
      <c r="I75" s="31">
        <f t="shared" si="24"/>
        <v>0.1494270406314946</v>
      </c>
      <c r="J75" s="31">
        <f t="shared" si="24"/>
        <v>0.0775241030787428</v>
      </c>
      <c r="K75" s="32">
        <f t="shared" si="24"/>
        <v>0.16213086276780553</v>
      </c>
      <c r="L75" s="29">
        <f>(L17/59479)-1</f>
        <v>-0.022764336992888268</v>
      </c>
      <c r="M75" s="29">
        <f>(M17/58309)-1</f>
        <v>-0.10053336534668744</v>
      </c>
      <c r="N75" s="29">
        <f>(N17/51667)-1</f>
        <v>0.0800317417306986</v>
      </c>
      <c r="O75" s="31">
        <f>(O17/P17)-1</f>
        <v>0.0697512904739559</v>
      </c>
      <c r="P75" s="31">
        <f>(P17/43472)-1</f>
        <v>0.22550147221199857</v>
      </c>
    </row>
    <row r="76" spans="2:16" ht="11.25">
      <c r="B76" s="2" t="s">
        <v>16</v>
      </c>
      <c r="C76" s="29">
        <f aca="true" t="shared" si="25" ref="C76:K76">(C21/G21)-1</f>
        <v>-0.5877102643323034</v>
      </c>
      <c r="D76" s="29">
        <f t="shared" si="25"/>
        <v>0.11795824992851012</v>
      </c>
      <c r="E76" s="29">
        <f t="shared" si="25"/>
        <v>0.6288958885941645</v>
      </c>
      <c r="F76" s="21">
        <f t="shared" si="25"/>
        <v>-0.8290900518623291</v>
      </c>
      <c r="G76" s="31">
        <f t="shared" si="25"/>
        <v>2.0494634912326615</v>
      </c>
      <c r="H76" s="31">
        <f t="shared" si="25"/>
        <v>-0.09204206153446715</v>
      </c>
      <c r="I76" s="31">
        <f t="shared" si="25"/>
        <v>0.2906815020862308</v>
      </c>
      <c r="J76" s="31">
        <f t="shared" si="25"/>
        <v>1.5639165911151407</v>
      </c>
      <c r="K76" s="32">
        <f t="shared" si="25"/>
        <v>0.25732148733135896</v>
      </c>
      <c r="L76" s="29">
        <f>(L21/4026)-1</f>
        <v>2.826626924987581</v>
      </c>
      <c r="M76" s="29">
        <f>(M21/1950)-1</f>
        <v>3.793333333333333</v>
      </c>
      <c r="N76" s="29">
        <f>(N21/1923)-1</f>
        <v>0.7207488299531981</v>
      </c>
      <c r="O76" s="31">
        <f>(O21/P21)-1</f>
        <v>1.9735812133072406</v>
      </c>
      <c r="P76" s="31">
        <f>(P21/17990)-1</f>
        <v>-0.9431906614785992</v>
      </c>
    </row>
    <row r="77" spans="1:16" ht="11.25">
      <c r="A77" s="2" t="s">
        <v>66</v>
      </c>
      <c r="C77" s="29">
        <f aca="true" t="shared" si="26" ref="C77:K77">(C25/G25)-1</f>
        <v>0.2392594686263425</v>
      </c>
      <c r="D77" s="29">
        <f t="shared" si="26"/>
        <v>0.25046782783935506</v>
      </c>
      <c r="E77" s="29">
        <f t="shared" si="26"/>
        <v>0.2681299125018537</v>
      </c>
      <c r="F77" s="21">
        <f t="shared" si="26"/>
        <v>0.25064733298808917</v>
      </c>
      <c r="G77" s="31">
        <f t="shared" si="26"/>
        <v>0.27495495495495503</v>
      </c>
      <c r="H77" s="31">
        <f t="shared" si="26"/>
        <v>0.1846862210095499</v>
      </c>
      <c r="I77" s="31">
        <f t="shared" si="26"/>
        <v>0.203462430840621</v>
      </c>
      <c r="J77" s="31">
        <f t="shared" si="26"/>
        <v>0.07357301704966646</v>
      </c>
      <c r="K77" s="32">
        <f t="shared" si="26"/>
        <v>0.05073835668307458</v>
      </c>
      <c r="L77" s="29">
        <f>(L25/5332)-1</f>
        <v>0.09977494373593387</v>
      </c>
      <c r="M77" s="29">
        <f>(M25/5213)-1</f>
        <v>0.07481296758104738</v>
      </c>
      <c r="N77" s="29">
        <f>(N25/5088)-1</f>
        <v>0.06053459119496862</v>
      </c>
      <c r="O77" s="31">
        <f>(O25/P25)-1</f>
        <v>0.07532573289902289</v>
      </c>
      <c r="P77" s="31">
        <f>(P25/4474)-1</f>
        <v>0.09789897183728202</v>
      </c>
    </row>
    <row r="78" spans="1:16" ht="11.25">
      <c r="A78" s="3" t="s">
        <v>67</v>
      </c>
      <c r="B78" s="3"/>
      <c r="C78" s="33">
        <f aca="true" t="shared" si="27" ref="C78:K78">(C40/G40)-1</f>
        <v>-0.21246006389776362</v>
      </c>
      <c r="D78" s="33">
        <f t="shared" si="27"/>
        <v>-0.17303822937625757</v>
      </c>
      <c r="E78" s="33">
        <f t="shared" si="27"/>
        <v>-0.061433447098976135</v>
      </c>
      <c r="F78" s="34">
        <f t="shared" si="27"/>
        <v>-0.30165289256198347</v>
      </c>
      <c r="G78" s="33">
        <f t="shared" si="27"/>
        <v>1.3533834586466167</v>
      </c>
      <c r="H78" s="33">
        <f t="shared" si="27"/>
        <v>-0.14604810996563578</v>
      </c>
      <c r="I78" s="33">
        <f t="shared" si="27"/>
        <v>-0.08722741433021808</v>
      </c>
      <c r="J78" s="33">
        <f t="shared" si="27"/>
        <v>1.1228070175438596</v>
      </c>
      <c r="K78" s="35">
        <f t="shared" si="27"/>
        <v>-0.27717391304347827</v>
      </c>
      <c r="L78" s="33">
        <f>(L40/418)-1</f>
        <v>0.39234449760765555</v>
      </c>
      <c r="M78" s="33">
        <f>(M40/302)-1</f>
        <v>0.0629139072847682</v>
      </c>
      <c r="N78" s="33">
        <f>(N40/176)-1</f>
        <v>-0.3522727272727273</v>
      </c>
      <c r="O78" s="33">
        <f>(O40/P40)-1</f>
        <v>-0.15981735159817356</v>
      </c>
      <c r="P78" s="33">
        <f>(P40/581)-1</f>
        <v>-0.24612736660929435</v>
      </c>
    </row>
  </sheetData>
  <sheetProtection/>
  <mergeCells count="4">
    <mergeCell ref="K7:N7"/>
    <mergeCell ref="O7:P7"/>
    <mergeCell ref="G7:J7"/>
    <mergeCell ref="C7:F7"/>
  </mergeCells>
  <printOptions horizontalCentered="1" verticalCentered="1"/>
  <pageMargins left="0.75" right="0.75" top="1" bottom="1" header="0" footer="0"/>
  <pageSetup horizontalDpi="300" verticalDpi="300" orientation="portrait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2017-06-16T16:13:56Z</dcterms:created>
  <dcterms:modified xsi:type="dcterms:W3CDTF">2017-06-16T16:13:59Z</dcterms:modified>
  <cp:category/>
  <cp:version/>
  <cp:contentType/>
  <cp:contentStatus/>
</cp:coreProperties>
</file>