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ICBC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<sst xmlns="http://schemas.openxmlformats.org/spreadsheetml/2006/main" count="89" uniqueCount="68">
  <si>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No. 18-36</t>
  </si>
  <si>
    <t>INTERNATIONAL COMMERCIAL BANK OF CHINA</t>
  </si>
  <si>
    <t>ESTADISTICA FINANCIERA  TRIMESTRES  2000, 2001Y 2002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</si>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</sst>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_(* #,##0.0000_);_(* \(#,##0.0000\);_(* &quot;-&quot;??_);_(@_)"/>
    <numFmt numFmtId="199" formatCode="0.00000"/>
    <numFmt numFmtId="200" formatCode="0.0000"/>
    <numFmt numFmtId="201" formatCode="0.000"/>
    <numFmt numFmtId="202" formatCode="0.0"/>
    <numFmt numFmtId="203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95" fontId="2" fillId="0" borderId="0" xfId="46" applyNumberFormat="1" applyFont="1" applyAlignment="1">
      <alignment/>
    </xf>
    <xf numFmtId="195" fontId="2" fillId="0" borderId="16" xfId="46" applyNumberFormat="1" applyFont="1" applyBorder="1" applyAlignment="1">
      <alignment/>
    </xf>
    <xf numFmtId="195" fontId="2" fillId="0" borderId="0" xfId="46" applyNumberFormat="1" applyFont="1" applyBorder="1" applyAlignment="1">
      <alignment/>
    </xf>
    <xf numFmtId="195" fontId="3" fillId="0" borderId="0" xfId="46" applyNumberFormat="1" applyFont="1" applyAlignment="1">
      <alignment/>
    </xf>
    <xf numFmtId="195" fontId="3" fillId="0" borderId="0" xfId="46" applyNumberFormat="1" applyFont="1" applyBorder="1" applyAlignment="1">
      <alignment/>
    </xf>
    <xf numFmtId="195" fontId="3" fillId="0" borderId="15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195" fontId="3" fillId="0" borderId="10" xfId="46" applyNumberFormat="1" applyFont="1" applyBorder="1" applyAlignment="1">
      <alignment/>
    </xf>
    <xf numFmtId="195" fontId="3" fillId="0" borderId="17" xfId="46" applyNumberFormat="1" applyFont="1" applyBorder="1" applyAlignment="1">
      <alignment/>
    </xf>
    <xf numFmtId="195" fontId="3" fillId="0" borderId="14" xfId="46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95" fontId="3" fillId="0" borderId="15" xfId="0" applyNumberFormat="1" applyFont="1" applyBorder="1" applyAlignment="1">
      <alignment/>
    </xf>
    <xf numFmtId="195" fontId="3" fillId="0" borderId="0" xfId="0" applyNumberFormat="1" applyFont="1" applyAlignment="1">
      <alignment/>
    </xf>
    <xf numFmtId="195" fontId="3" fillId="0" borderId="17" xfId="0" applyNumberFormat="1" applyFont="1" applyBorder="1" applyAlignment="1">
      <alignment/>
    </xf>
    <xf numFmtId="195" fontId="3" fillId="0" borderId="10" xfId="0" applyNumberFormat="1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7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3" fillId="0" borderId="16" xfId="52" applyNumberFormat="1" applyFont="1" applyBorder="1" applyAlignment="1">
      <alignment/>
    </xf>
    <xf numFmtId="197" fontId="3" fillId="0" borderId="0" xfId="52" applyNumberFormat="1" applyFont="1" applyBorder="1" applyAlignment="1">
      <alignment/>
    </xf>
    <xf numFmtId="197" fontId="3" fillId="0" borderId="15" xfId="52" applyNumberFormat="1" applyFont="1" applyBorder="1" applyAlignment="1">
      <alignment/>
    </xf>
    <xf numFmtId="197" fontId="3" fillId="0" borderId="10" xfId="52" applyNumberFormat="1" applyFont="1" applyBorder="1" applyAlignment="1">
      <alignment/>
    </xf>
    <xf numFmtId="197" fontId="3" fillId="0" borderId="17" xfId="52" applyNumberFormat="1" applyFont="1" applyBorder="1" applyAlignment="1">
      <alignment/>
    </xf>
    <xf numFmtId="197" fontId="3" fillId="0" borderId="14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8" sqref="F8"/>
    </sheetView>
  </sheetViews>
  <sheetFormatPr defaultColWidth="11.421875" defaultRowHeight="12.75"/>
  <cols>
    <col min="1" max="1" width="2.140625" style="2" customWidth="1"/>
    <col min="2" max="2" width="28.7109375" style="2" customWidth="1"/>
    <col min="3" max="3" width="8.28125" style="2" customWidth="1"/>
    <col min="4" max="4" width="8.140625" style="2" customWidth="1"/>
    <col min="5" max="5" width="7.8515625" style="2" customWidth="1"/>
    <col min="6" max="6" width="7.421875" style="2" customWidth="1"/>
    <col min="7" max="7" width="8.140625" style="2" bestFit="1" customWidth="1"/>
    <col min="8" max="8" width="7.7109375" style="2" bestFit="1" customWidth="1"/>
    <col min="9" max="9" width="7.8515625" style="2" customWidth="1"/>
    <col min="10" max="10" width="7.7109375" style="2" customWidth="1"/>
    <col min="11" max="11" width="7.57421875" style="2" customWidth="1"/>
    <col min="12" max="12" width="8.28125" style="2" customWidth="1"/>
    <col min="13" max="14" width="7.8515625" style="2" customWidth="1"/>
    <col min="15" max="15" width="6.28125" style="2" hidden="1" customWidth="1"/>
    <col min="16" max="16" width="6.421875" style="2" hidden="1" customWidth="1"/>
    <col min="17" max="40" width="11.421875" style="2" customWidth="1"/>
    <col min="41" max="16384" width="11.421875" style="1" customWidth="1"/>
  </cols>
  <sheetData>
    <row r="1" spans="2:16" ht="11.25">
      <c r="B1" s="50"/>
      <c r="C1" s="50"/>
      <c r="D1" s="50"/>
      <c r="E1" s="50"/>
      <c r="F1" s="50"/>
      <c r="G1" s="50"/>
      <c r="H1" s="50" t="s">
        <v>0</v>
      </c>
      <c r="I1" s="50"/>
      <c r="J1" s="50"/>
      <c r="K1" s="50"/>
      <c r="L1" s="50"/>
      <c r="M1" s="50"/>
      <c r="N1" s="50"/>
      <c r="O1" s="50"/>
      <c r="P1" s="50"/>
    </row>
    <row r="2" spans="2:16" ht="11.25">
      <c r="B2" s="50"/>
      <c r="C2" s="50"/>
      <c r="D2" s="50"/>
      <c r="E2" s="50"/>
      <c r="F2" s="50"/>
      <c r="G2" s="50"/>
      <c r="H2" s="50" t="s">
        <v>1</v>
      </c>
      <c r="I2" s="50"/>
      <c r="J2" s="50"/>
      <c r="K2" s="50"/>
      <c r="L2" s="50"/>
      <c r="M2" s="50"/>
      <c r="N2" s="50"/>
      <c r="O2" s="50"/>
      <c r="P2" s="50"/>
    </row>
    <row r="3" spans="2:16" ht="11.25">
      <c r="B3" s="50"/>
      <c r="C3" s="50"/>
      <c r="D3" s="50"/>
      <c r="E3" s="50"/>
      <c r="F3" s="50"/>
      <c r="G3" s="50"/>
      <c r="H3" s="50" t="s">
        <v>2</v>
      </c>
      <c r="I3" s="50"/>
      <c r="J3" s="50"/>
      <c r="K3" s="50"/>
      <c r="L3" s="50"/>
      <c r="M3" s="50"/>
      <c r="N3" s="50"/>
      <c r="O3" s="50"/>
      <c r="P3" s="50"/>
    </row>
    <row r="4" spans="1:16" ht="11.25">
      <c r="A4" s="1"/>
      <c r="B4" s="49"/>
      <c r="C4" s="49"/>
      <c r="D4" s="49"/>
      <c r="E4" s="49"/>
      <c r="F4" s="49"/>
      <c r="G4" s="49"/>
      <c r="H4" s="49" t="s">
        <v>3</v>
      </c>
      <c r="I4" s="49"/>
      <c r="J4" s="49"/>
      <c r="K4" s="49"/>
      <c r="L4" s="49"/>
      <c r="M4" s="49"/>
      <c r="N4" s="49"/>
      <c r="O4" s="49"/>
      <c r="P4" s="49"/>
    </row>
    <row r="5" spans="1:16" ht="11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1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3"/>
      <c r="P6" s="3"/>
    </row>
    <row r="7" spans="1:16" ht="11.25">
      <c r="A7" s="5"/>
      <c r="B7" s="5"/>
      <c r="C7" s="52">
        <v>2002</v>
      </c>
      <c r="D7" s="52"/>
      <c r="E7" s="52"/>
      <c r="F7" s="53"/>
      <c r="G7" s="52">
        <v>2001</v>
      </c>
      <c r="H7" s="52"/>
      <c r="I7" s="52"/>
      <c r="J7" s="52"/>
      <c r="K7" s="51">
        <v>2000</v>
      </c>
      <c r="L7" s="52"/>
      <c r="M7" s="52"/>
      <c r="N7" s="52"/>
      <c r="O7" s="52" t="s">
        <v>4</v>
      </c>
      <c r="P7" s="52"/>
    </row>
    <row r="8" spans="1:16" ht="11.25">
      <c r="A8" s="6"/>
      <c r="B8" s="6"/>
      <c r="C8" s="7" t="s">
        <v>5</v>
      </c>
      <c r="D8" s="6" t="s">
        <v>6</v>
      </c>
      <c r="E8" s="8" t="s">
        <v>7</v>
      </c>
      <c r="F8" s="9" t="s">
        <v>8</v>
      </c>
      <c r="G8" s="7" t="s">
        <v>5</v>
      </c>
      <c r="H8" s="6" t="s">
        <v>6</v>
      </c>
      <c r="I8" s="6" t="s">
        <v>7</v>
      </c>
      <c r="J8" s="6" t="s">
        <v>8</v>
      </c>
      <c r="K8" s="10" t="s">
        <v>5</v>
      </c>
      <c r="L8" s="6" t="s">
        <v>6</v>
      </c>
      <c r="M8" s="6" t="s">
        <v>7</v>
      </c>
      <c r="N8" s="7" t="s">
        <v>8</v>
      </c>
      <c r="O8" s="11" t="s">
        <v>9</v>
      </c>
      <c r="P8" s="11" t="s">
        <v>10</v>
      </c>
    </row>
    <row r="9" spans="1:16" ht="11.25">
      <c r="A9" s="12" t="s">
        <v>11</v>
      </c>
      <c r="B9" s="12"/>
      <c r="C9" s="12"/>
      <c r="D9" s="12"/>
      <c r="E9" s="13"/>
      <c r="F9" s="14"/>
      <c r="G9" s="12"/>
      <c r="H9" s="12"/>
      <c r="I9" s="12"/>
      <c r="J9" s="15"/>
      <c r="K9" s="16"/>
      <c r="L9" s="17"/>
      <c r="M9" s="17"/>
      <c r="N9" s="17"/>
      <c r="O9" s="15"/>
      <c r="P9" s="15"/>
    </row>
    <row r="10" spans="1:16" ht="11.25">
      <c r="A10" s="2" t="s">
        <v>12</v>
      </c>
      <c r="C10" s="18">
        <v>192120</v>
      </c>
      <c r="D10" s="18">
        <v>184073</v>
      </c>
      <c r="E10" s="19">
        <v>179994</v>
      </c>
      <c r="F10" s="20">
        <v>179535</v>
      </c>
      <c r="G10" s="18">
        <v>185375</v>
      </c>
      <c r="H10" s="18">
        <v>175606</v>
      </c>
      <c r="I10" s="18">
        <v>175415</v>
      </c>
      <c r="J10" s="18">
        <v>179976</v>
      </c>
      <c r="K10" s="21">
        <v>189958</v>
      </c>
      <c r="L10" s="19">
        <v>179067</v>
      </c>
      <c r="M10" s="19">
        <v>185481</v>
      </c>
      <c r="N10" s="19">
        <v>184760</v>
      </c>
      <c r="O10" s="18">
        <v>180911</v>
      </c>
      <c r="P10" s="18">
        <v>182445</v>
      </c>
    </row>
    <row r="11" spans="1:16" ht="11.25">
      <c r="A11" s="2" t="s">
        <v>13</v>
      </c>
      <c r="C11" s="18">
        <v>96266</v>
      </c>
      <c r="D11" s="18">
        <v>85657</v>
      </c>
      <c r="E11" s="19">
        <v>81741</v>
      </c>
      <c r="F11" s="20">
        <v>77213</v>
      </c>
      <c r="G11" s="18">
        <v>74007</v>
      </c>
      <c r="H11" s="18">
        <v>59195</v>
      </c>
      <c r="I11" s="18">
        <v>60704</v>
      </c>
      <c r="J11" s="18">
        <v>73856</v>
      </c>
      <c r="K11" s="21">
        <v>74494</v>
      </c>
      <c r="L11" s="19">
        <v>67372</v>
      </c>
      <c r="M11" s="19">
        <v>77302</v>
      </c>
      <c r="N11" s="19">
        <v>80113</v>
      </c>
      <c r="O11" s="18">
        <v>76438</v>
      </c>
      <c r="P11" s="18">
        <v>78154</v>
      </c>
    </row>
    <row r="12" spans="1:16" ht="11.25">
      <c r="A12" s="2" t="s">
        <v>14</v>
      </c>
      <c r="C12" s="19">
        <f aca="true" t="shared" si="0" ref="C12:P12">C13+C14</f>
        <v>89114</v>
      </c>
      <c r="D12" s="19">
        <f t="shared" si="0"/>
        <v>93446</v>
      </c>
      <c r="E12" s="19">
        <f t="shared" si="0"/>
        <v>92304</v>
      </c>
      <c r="F12" s="20">
        <f t="shared" si="0"/>
        <v>94837</v>
      </c>
      <c r="G12" s="18">
        <f t="shared" si="0"/>
        <v>103901</v>
      </c>
      <c r="H12" s="18">
        <f t="shared" si="0"/>
        <v>108317</v>
      </c>
      <c r="I12" s="18">
        <f t="shared" si="0"/>
        <v>106024</v>
      </c>
      <c r="J12" s="18">
        <f t="shared" si="0"/>
        <v>97832</v>
      </c>
      <c r="K12" s="21">
        <f t="shared" si="0"/>
        <v>102380</v>
      </c>
      <c r="L12" s="19">
        <f t="shared" si="0"/>
        <v>101629</v>
      </c>
      <c r="M12" s="19">
        <f t="shared" si="0"/>
        <v>99126</v>
      </c>
      <c r="N12" s="19">
        <f t="shared" si="0"/>
        <v>94468</v>
      </c>
      <c r="O12" s="18">
        <f t="shared" si="0"/>
        <v>96027</v>
      </c>
      <c r="P12" s="18">
        <f t="shared" si="0"/>
        <v>96109</v>
      </c>
    </row>
    <row r="13" spans="2:16" ht="11.25">
      <c r="B13" s="2" t="s">
        <v>15</v>
      </c>
      <c r="C13" s="18">
        <v>84329</v>
      </c>
      <c r="D13" s="18">
        <v>88445</v>
      </c>
      <c r="E13" s="19">
        <v>86647</v>
      </c>
      <c r="F13" s="20">
        <v>88967</v>
      </c>
      <c r="G13" s="18">
        <v>97740</v>
      </c>
      <c r="H13" s="18">
        <v>101998</v>
      </c>
      <c r="I13" s="18">
        <v>95133</v>
      </c>
      <c r="J13" s="18">
        <v>94398</v>
      </c>
      <c r="K13" s="21">
        <v>98266</v>
      </c>
      <c r="L13" s="19">
        <v>97535</v>
      </c>
      <c r="M13" s="19">
        <v>95041</v>
      </c>
      <c r="N13" s="19">
        <v>88878</v>
      </c>
      <c r="O13" s="18">
        <v>91078</v>
      </c>
      <c r="P13" s="18">
        <v>89514</v>
      </c>
    </row>
    <row r="14" spans="2:16" ht="11.25">
      <c r="B14" s="2" t="s">
        <v>16</v>
      </c>
      <c r="C14" s="18">
        <v>4785</v>
      </c>
      <c r="D14" s="18">
        <v>5001</v>
      </c>
      <c r="E14" s="19">
        <v>5657</v>
      </c>
      <c r="F14" s="20">
        <v>5870</v>
      </c>
      <c r="G14" s="18">
        <v>6161</v>
      </c>
      <c r="H14" s="18">
        <v>6319</v>
      </c>
      <c r="I14" s="18">
        <v>10891</v>
      </c>
      <c r="J14" s="18">
        <v>3434</v>
      </c>
      <c r="K14" s="21">
        <v>4114</v>
      </c>
      <c r="L14" s="19">
        <v>4094</v>
      </c>
      <c r="M14" s="19">
        <v>4085</v>
      </c>
      <c r="N14" s="19">
        <v>5590</v>
      </c>
      <c r="O14" s="18">
        <v>4949</v>
      </c>
      <c r="P14" s="18">
        <v>6595</v>
      </c>
    </row>
    <row r="15" spans="1:16" ht="11.25">
      <c r="A15" s="2" t="s">
        <v>17</v>
      </c>
      <c r="C15" s="18">
        <v>0</v>
      </c>
      <c r="D15" s="18">
        <v>0</v>
      </c>
      <c r="E15" s="19">
        <v>0</v>
      </c>
      <c r="F15" s="20">
        <v>0</v>
      </c>
      <c r="G15" s="18">
        <v>0</v>
      </c>
      <c r="H15" s="18">
        <v>0</v>
      </c>
      <c r="I15" s="18">
        <v>0</v>
      </c>
      <c r="J15" s="18">
        <v>0</v>
      </c>
      <c r="K15" s="21">
        <v>0</v>
      </c>
      <c r="L15" s="19">
        <v>0</v>
      </c>
      <c r="M15" s="19">
        <v>0</v>
      </c>
      <c r="N15" s="19">
        <v>0</v>
      </c>
      <c r="O15" s="18">
        <v>0</v>
      </c>
      <c r="P15" s="18">
        <v>0</v>
      </c>
    </row>
    <row r="16" spans="1:16" ht="11.25">
      <c r="A16" s="2" t="s">
        <v>18</v>
      </c>
      <c r="C16" s="19">
        <f aca="true" t="shared" si="1" ref="C16:P16">C17+C21</f>
        <v>170592</v>
      </c>
      <c r="D16" s="19">
        <f t="shared" si="1"/>
        <v>167050</v>
      </c>
      <c r="E16" s="19">
        <f t="shared" si="1"/>
        <v>160593</v>
      </c>
      <c r="F16" s="20">
        <f t="shared" si="1"/>
        <v>160011</v>
      </c>
      <c r="G16" s="18">
        <f t="shared" si="1"/>
        <v>162890</v>
      </c>
      <c r="H16" s="18">
        <f t="shared" si="1"/>
        <v>158300</v>
      </c>
      <c r="I16" s="18">
        <f t="shared" si="1"/>
        <v>157989</v>
      </c>
      <c r="J16" s="18">
        <f t="shared" si="1"/>
        <v>162501</v>
      </c>
      <c r="K16" s="21">
        <f t="shared" si="1"/>
        <v>169216</v>
      </c>
      <c r="L16" s="19">
        <f t="shared" si="1"/>
        <v>163423</v>
      </c>
      <c r="M16" s="19">
        <f t="shared" si="1"/>
        <v>170227</v>
      </c>
      <c r="N16" s="19">
        <f t="shared" si="1"/>
        <v>170069</v>
      </c>
      <c r="O16" s="18">
        <f t="shared" si="1"/>
        <v>167612</v>
      </c>
      <c r="P16" s="18">
        <f t="shared" si="1"/>
        <v>169084</v>
      </c>
    </row>
    <row r="17" spans="2:16" ht="11.25">
      <c r="B17" s="2" t="s">
        <v>15</v>
      </c>
      <c r="C17" s="19">
        <f aca="true" t="shared" si="2" ref="C17:P17">SUM(C18:C20)</f>
        <v>107302</v>
      </c>
      <c r="D17" s="19">
        <f t="shared" si="2"/>
        <v>101253</v>
      </c>
      <c r="E17" s="19">
        <f t="shared" si="2"/>
        <v>93319</v>
      </c>
      <c r="F17" s="20">
        <f t="shared" si="2"/>
        <v>93482</v>
      </c>
      <c r="G17" s="18">
        <f t="shared" si="2"/>
        <v>95297</v>
      </c>
      <c r="H17" s="18">
        <f t="shared" si="2"/>
        <v>86922</v>
      </c>
      <c r="I17" s="18">
        <f t="shared" si="2"/>
        <v>84920</v>
      </c>
      <c r="J17" s="18">
        <f t="shared" si="2"/>
        <v>96986</v>
      </c>
      <c r="K17" s="21">
        <f t="shared" si="2"/>
        <v>103030</v>
      </c>
      <c r="L17" s="19">
        <f t="shared" si="2"/>
        <v>95317</v>
      </c>
      <c r="M17" s="19">
        <f t="shared" si="2"/>
        <v>89499</v>
      </c>
      <c r="N17" s="19">
        <f t="shared" si="2"/>
        <v>96933</v>
      </c>
      <c r="O17" s="18">
        <f t="shared" si="2"/>
        <v>66440</v>
      </c>
      <c r="P17" s="18">
        <f t="shared" si="2"/>
        <v>66864</v>
      </c>
    </row>
    <row r="18" spans="2:16" ht="11.25">
      <c r="B18" s="2" t="s">
        <v>19</v>
      </c>
      <c r="C18" s="18">
        <v>716</v>
      </c>
      <c r="D18" s="18">
        <v>23</v>
      </c>
      <c r="E18" s="19">
        <v>350</v>
      </c>
      <c r="F18" s="20">
        <v>13</v>
      </c>
      <c r="G18" s="18">
        <v>0</v>
      </c>
      <c r="H18" s="18">
        <v>0</v>
      </c>
      <c r="I18" s="18">
        <v>0</v>
      </c>
      <c r="J18" s="18">
        <v>0</v>
      </c>
      <c r="K18" s="21">
        <v>0</v>
      </c>
      <c r="L18" s="19">
        <v>0</v>
      </c>
      <c r="M18" s="19">
        <v>0</v>
      </c>
      <c r="N18" s="19">
        <v>0</v>
      </c>
      <c r="O18" s="18">
        <v>0</v>
      </c>
      <c r="P18" s="18">
        <v>0</v>
      </c>
    </row>
    <row r="19" spans="2:16" ht="11.25">
      <c r="B19" s="2" t="s">
        <v>20</v>
      </c>
      <c r="C19" s="18">
        <v>106584</v>
      </c>
      <c r="D19" s="18">
        <v>101227</v>
      </c>
      <c r="E19" s="19">
        <v>92966</v>
      </c>
      <c r="F19" s="20">
        <v>93466</v>
      </c>
      <c r="G19" s="18">
        <f>26847+68450</f>
        <v>95297</v>
      </c>
      <c r="H19" s="18">
        <v>86922</v>
      </c>
      <c r="I19" s="18">
        <v>84920</v>
      </c>
      <c r="J19" s="18">
        <v>96986</v>
      </c>
      <c r="K19" s="21">
        <v>103030</v>
      </c>
      <c r="L19" s="19">
        <v>95317</v>
      </c>
      <c r="M19" s="19">
        <v>89499</v>
      </c>
      <c r="N19" s="19">
        <v>96933</v>
      </c>
      <c r="O19" s="18">
        <v>66440</v>
      </c>
      <c r="P19" s="18">
        <v>66864</v>
      </c>
    </row>
    <row r="20" spans="2:16" ht="11.25">
      <c r="B20" s="2" t="s">
        <v>21</v>
      </c>
      <c r="C20" s="18">
        <v>2</v>
      </c>
      <c r="D20" s="18">
        <v>3</v>
      </c>
      <c r="E20" s="19">
        <v>3</v>
      </c>
      <c r="F20" s="20">
        <v>3</v>
      </c>
      <c r="G20" s="18">
        <v>0</v>
      </c>
      <c r="H20" s="18">
        <v>0</v>
      </c>
      <c r="I20" s="18">
        <v>0</v>
      </c>
      <c r="J20" s="18">
        <v>0</v>
      </c>
      <c r="K20" s="21">
        <v>0</v>
      </c>
      <c r="L20" s="19">
        <v>0</v>
      </c>
      <c r="M20" s="19">
        <v>0</v>
      </c>
      <c r="N20" s="19">
        <v>0</v>
      </c>
      <c r="O20" s="18">
        <v>0</v>
      </c>
      <c r="P20" s="18">
        <v>0</v>
      </c>
    </row>
    <row r="21" spans="2:16" ht="11.25">
      <c r="B21" s="2" t="s">
        <v>16</v>
      </c>
      <c r="C21" s="19">
        <f>SUM(C22:C24)</f>
        <v>63290</v>
      </c>
      <c r="D21" s="19">
        <f>SUM(D22:D24)</f>
        <v>65797</v>
      </c>
      <c r="E21" s="19">
        <f>SUM(E22:E24)</f>
        <v>67274</v>
      </c>
      <c r="F21" s="20">
        <f>SUM(F22:F24)</f>
        <v>66529</v>
      </c>
      <c r="G21" s="18">
        <f aca="true" t="shared" si="3" ref="G21:P21">SUM(G23:G24)</f>
        <v>67593</v>
      </c>
      <c r="H21" s="18">
        <f t="shared" si="3"/>
        <v>71378</v>
      </c>
      <c r="I21" s="18">
        <f t="shared" si="3"/>
        <v>73069</v>
      </c>
      <c r="J21" s="18">
        <f t="shared" si="3"/>
        <v>65515</v>
      </c>
      <c r="K21" s="21">
        <f t="shared" si="3"/>
        <v>66186</v>
      </c>
      <c r="L21" s="19">
        <f t="shared" si="3"/>
        <v>68106</v>
      </c>
      <c r="M21" s="19">
        <f t="shared" si="3"/>
        <v>80728</v>
      </c>
      <c r="N21" s="19">
        <f t="shared" si="3"/>
        <v>73136</v>
      </c>
      <c r="O21" s="18">
        <f t="shared" si="3"/>
        <v>101172</v>
      </c>
      <c r="P21" s="18">
        <f t="shared" si="3"/>
        <v>102220</v>
      </c>
    </row>
    <row r="22" spans="2:16" ht="11.25">
      <c r="B22" s="2" t="s">
        <v>19</v>
      </c>
      <c r="C22" s="19">
        <v>376</v>
      </c>
      <c r="D22" s="19">
        <v>400</v>
      </c>
      <c r="E22" s="19">
        <v>1090</v>
      </c>
      <c r="F22" s="20">
        <v>0</v>
      </c>
      <c r="G22" s="18">
        <v>0</v>
      </c>
      <c r="H22" s="18">
        <v>0</v>
      </c>
      <c r="I22" s="18">
        <v>0</v>
      </c>
      <c r="J22" s="18">
        <v>0</v>
      </c>
      <c r="K22" s="21">
        <v>0</v>
      </c>
      <c r="L22" s="19">
        <v>0</v>
      </c>
      <c r="M22" s="19">
        <v>0</v>
      </c>
      <c r="N22" s="19">
        <v>0</v>
      </c>
      <c r="O22" s="18"/>
      <c r="P22" s="18"/>
    </row>
    <row r="23" spans="2:16" ht="11.25">
      <c r="B23" s="2" t="s">
        <v>20</v>
      </c>
      <c r="C23" s="18">
        <v>18792</v>
      </c>
      <c r="D23" s="18">
        <v>17152</v>
      </c>
      <c r="E23" s="19">
        <v>18716</v>
      </c>
      <c r="F23" s="20">
        <v>19713</v>
      </c>
      <c r="G23" s="18">
        <f>1639+20221</f>
        <v>21860</v>
      </c>
      <c r="H23" s="18">
        <v>20227</v>
      </c>
      <c r="I23" s="18">
        <v>19277</v>
      </c>
      <c r="J23" s="18">
        <v>18965</v>
      </c>
      <c r="K23" s="21">
        <v>19239</v>
      </c>
      <c r="L23" s="19">
        <v>22769</v>
      </c>
      <c r="M23" s="19">
        <v>22375</v>
      </c>
      <c r="N23" s="19">
        <v>23937</v>
      </c>
      <c r="O23" s="18">
        <v>49087</v>
      </c>
      <c r="P23" s="18">
        <v>45135</v>
      </c>
    </row>
    <row r="24" spans="2:16" ht="11.25">
      <c r="B24" s="2" t="s">
        <v>21</v>
      </c>
      <c r="C24" s="18">
        <v>44122</v>
      </c>
      <c r="D24" s="18">
        <v>48245</v>
      </c>
      <c r="E24" s="19">
        <v>47468</v>
      </c>
      <c r="F24" s="20">
        <v>46816</v>
      </c>
      <c r="G24" s="18">
        <f>4067+40000+1635+31</f>
        <v>45733</v>
      </c>
      <c r="H24" s="18">
        <v>51151</v>
      </c>
      <c r="I24" s="18">
        <v>53792</v>
      </c>
      <c r="J24" s="18">
        <v>46550</v>
      </c>
      <c r="K24" s="21">
        <v>46947</v>
      </c>
      <c r="L24" s="19">
        <v>45337</v>
      </c>
      <c r="M24" s="19">
        <v>58353</v>
      </c>
      <c r="N24" s="19">
        <v>49199</v>
      </c>
      <c r="O24" s="18">
        <v>52085</v>
      </c>
      <c r="P24" s="18">
        <v>57085</v>
      </c>
    </row>
    <row r="25" spans="1:16" ht="11.25">
      <c r="A25" s="3" t="s">
        <v>22</v>
      </c>
      <c r="B25" s="3"/>
      <c r="C25" s="22">
        <v>11474</v>
      </c>
      <c r="D25" s="22">
        <v>8918</v>
      </c>
      <c r="E25" s="22">
        <v>8513</v>
      </c>
      <c r="F25" s="23">
        <v>8217</v>
      </c>
      <c r="G25" s="22">
        <v>8870</v>
      </c>
      <c r="H25" s="22">
        <v>6873</v>
      </c>
      <c r="I25" s="22">
        <v>6550</v>
      </c>
      <c r="J25" s="22">
        <v>6568</v>
      </c>
      <c r="K25" s="24">
        <v>8134</v>
      </c>
      <c r="L25" s="22">
        <v>5892</v>
      </c>
      <c r="M25" s="22">
        <v>5416</v>
      </c>
      <c r="N25" s="22">
        <v>5160</v>
      </c>
      <c r="O25" s="22">
        <v>5611</v>
      </c>
      <c r="P25" s="22">
        <v>4693</v>
      </c>
    </row>
    <row r="26" spans="1:16" ht="11.25">
      <c r="A26" s="12" t="s">
        <v>23</v>
      </c>
      <c r="E26" s="19"/>
      <c r="F26" s="25"/>
      <c r="H26" s="18"/>
      <c r="J26" s="18"/>
      <c r="K26" s="21"/>
      <c r="L26" s="19"/>
      <c r="M26" s="19"/>
      <c r="N26" s="19"/>
      <c r="O26" s="18"/>
      <c r="P26" s="18"/>
    </row>
    <row r="27" spans="1:16" ht="11.25">
      <c r="A27" s="2" t="s">
        <v>12</v>
      </c>
      <c r="C27" s="19">
        <f aca="true" t="shared" si="4" ref="C27:J27">(C10+G10)/2</f>
        <v>188747.5</v>
      </c>
      <c r="D27" s="19">
        <f t="shared" si="4"/>
        <v>179839.5</v>
      </c>
      <c r="E27" s="19">
        <f t="shared" si="4"/>
        <v>177704.5</v>
      </c>
      <c r="F27" s="20">
        <f t="shared" si="4"/>
        <v>179755.5</v>
      </c>
      <c r="G27" s="18">
        <f t="shared" si="4"/>
        <v>187666.5</v>
      </c>
      <c r="H27" s="18">
        <f t="shared" si="4"/>
        <v>177336.5</v>
      </c>
      <c r="I27" s="18">
        <f t="shared" si="4"/>
        <v>180448</v>
      </c>
      <c r="J27" s="18">
        <f t="shared" si="4"/>
        <v>182368</v>
      </c>
      <c r="K27" s="21">
        <f>(K10+180911)/2</f>
        <v>185434.5</v>
      </c>
      <c r="L27" s="19">
        <f>(L10+172742)/2</f>
        <v>175904.5</v>
      </c>
      <c r="M27" s="19">
        <f>(M73+168558)/2</f>
        <v>84278.90509718366</v>
      </c>
      <c r="N27" s="19">
        <f>(N10+170692)/2</f>
        <v>177726</v>
      </c>
      <c r="O27" s="18">
        <f>(O10+P10)/2</f>
        <v>181678</v>
      </c>
      <c r="P27" s="18">
        <f>(P10+159263)/2</f>
        <v>170854</v>
      </c>
    </row>
    <row r="28" spans="1:16" ht="11.25">
      <c r="A28" s="2" t="s">
        <v>24</v>
      </c>
      <c r="C28" s="19">
        <f aca="true" t="shared" si="5" ref="C28:P28">C29+C30</f>
        <v>96507.5</v>
      </c>
      <c r="D28" s="19">
        <f t="shared" si="5"/>
        <v>100881.5</v>
      </c>
      <c r="E28" s="19">
        <f t="shared" si="5"/>
        <v>99164</v>
      </c>
      <c r="F28" s="20">
        <f t="shared" si="5"/>
        <v>96334.5</v>
      </c>
      <c r="G28" s="18">
        <f t="shared" si="5"/>
        <v>103140.5</v>
      </c>
      <c r="H28" s="18">
        <f t="shared" si="5"/>
        <v>104973</v>
      </c>
      <c r="I28" s="18">
        <f t="shared" si="5"/>
        <v>102575</v>
      </c>
      <c r="J28" s="18">
        <f t="shared" si="5"/>
        <v>96150</v>
      </c>
      <c r="K28" s="21">
        <f t="shared" si="5"/>
        <v>99203.5</v>
      </c>
      <c r="L28" s="19">
        <f t="shared" si="5"/>
        <v>95072.5</v>
      </c>
      <c r="M28" s="19">
        <f t="shared" si="5"/>
        <v>92041.5</v>
      </c>
      <c r="N28" s="19">
        <f t="shared" si="5"/>
        <v>90826</v>
      </c>
      <c r="O28" s="18">
        <f t="shared" si="5"/>
        <v>96068</v>
      </c>
      <c r="P28" s="18">
        <f t="shared" si="5"/>
        <v>86700</v>
      </c>
    </row>
    <row r="29" spans="2:16" ht="11.25">
      <c r="B29" s="2" t="s">
        <v>14</v>
      </c>
      <c r="C29" s="19">
        <f aca="true" t="shared" si="6" ref="C29:K29">(C12+G12)/2</f>
        <v>96507.5</v>
      </c>
      <c r="D29" s="19">
        <f t="shared" si="6"/>
        <v>100881.5</v>
      </c>
      <c r="E29" s="19">
        <f t="shared" si="6"/>
        <v>99164</v>
      </c>
      <c r="F29" s="20">
        <f t="shared" si="6"/>
        <v>96334.5</v>
      </c>
      <c r="G29" s="18">
        <f t="shared" si="6"/>
        <v>103140.5</v>
      </c>
      <c r="H29" s="18">
        <f t="shared" si="6"/>
        <v>104973</v>
      </c>
      <c r="I29" s="18">
        <f t="shared" si="6"/>
        <v>102575</v>
      </c>
      <c r="J29" s="18">
        <f t="shared" si="6"/>
        <v>96150</v>
      </c>
      <c r="K29" s="21">
        <f t="shared" si="6"/>
        <v>99203.5</v>
      </c>
      <c r="L29" s="19">
        <f>(L12+88516)/2</f>
        <v>95072.5</v>
      </c>
      <c r="M29" s="19">
        <f>(M12+84957)/2</f>
        <v>92041.5</v>
      </c>
      <c r="N29" s="19">
        <f>(N12+87184)/2</f>
        <v>90826</v>
      </c>
      <c r="O29" s="18">
        <f>(O12+P12)/2</f>
        <v>96068</v>
      </c>
      <c r="P29" s="18">
        <f>(P12+77291)/2</f>
        <v>86700</v>
      </c>
    </row>
    <row r="30" spans="2:16" ht="11.25">
      <c r="B30" s="2" t="s">
        <v>17</v>
      </c>
      <c r="C30" s="19">
        <f aca="true" t="shared" si="7" ref="C30:J30">(C15+G15)/2</f>
        <v>0</v>
      </c>
      <c r="D30" s="19">
        <f t="shared" si="7"/>
        <v>0</v>
      </c>
      <c r="E30" s="19">
        <f t="shared" si="7"/>
        <v>0</v>
      </c>
      <c r="F30" s="20">
        <f t="shared" si="7"/>
        <v>0</v>
      </c>
      <c r="G30" s="18">
        <f t="shared" si="7"/>
        <v>0</v>
      </c>
      <c r="H30" s="18">
        <f t="shared" si="7"/>
        <v>0</v>
      </c>
      <c r="I30" s="18">
        <f t="shared" si="7"/>
        <v>0</v>
      </c>
      <c r="J30" s="18">
        <f t="shared" si="7"/>
        <v>0</v>
      </c>
      <c r="K30" s="21">
        <v>0</v>
      </c>
      <c r="L30" s="19">
        <v>0</v>
      </c>
      <c r="M30" s="19">
        <v>0</v>
      </c>
      <c r="N30" s="19">
        <v>0</v>
      </c>
      <c r="O30" s="18">
        <v>0</v>
      </c>
      <c r="P30" s="18">
        <v>0</v>
      </c>
    </row>
    <row r="31" spans="1:16" ht="11.25">
      <c r="A31" s="3" t="s">
        <v>22</v>
      </c>
      <c r="B31" s="3"/>
      <c r="C31" s="22">
        <f aca="true" t="shared" si="8" ref="C31:K31">(C25+G25)/2</f>
        <v>10172</v>
      </c>
      <c r="D31" s="22">
        <f t="shared" si="8"/>
        <v>7895.5</v>
      </c>
      <c r="E31" s="22">
        <f t="shared" si="8"/>
        <v>7531.5</v>
      </c>
      <c r="F31" s="23">
        <f t="shared" si="8"/>
        <v>7392.5</v>
      </c>
      <c r="G31" s="22">
        <f t="shared" si="8"/>
        <v>8502</v>
      </c>
      <c r="H31" s="22">
        <f t="shared" si="8"/>
        <v>6382.5</v>
      </c>
      <c r="I31" s="22">
        <f t="shared" si="8"/>
        <v>5983</v>
      </c>
      <c r="J31" s="22">
        <f t="shared" si="8"/>
        <v>5864</v>
      </c>
      <c r="K31" s="24">
        <f t="shared" si="8"/>
        <v>6872.5</v>
      </c>
      <c r="L31" s="22">
        <f>(L25+4040)/2</f>
        <v>4966</v>
      </c>
      <c r="M31" s="22">
        <f>(M25+4029)/2</f>
        <v>4722.5</v>
      </c>
      <c r="N31" s="22">
        <f>(N25+5229)/2</f>
        <v>5194.5</v>
      </c>
      <c r="O31" s="22">
        <f>(O25+P25)/2</f>
        <v>5152</v>
      </c>
      <c r="P31" s="22">
        <f>(P25+3534)/2</f>
        <v>4113.5</v>
      </c>
    </row>
    <row r="32" spans="1:14" ht="11.25">
      <c r="A32" s="12" t="s">
        <v>25</v>
      </c>
      <c r="E32" s="19"/>
      <c r="F32" s="25"/>
      <c r="H32" s="18"/>
      <c r="J32" s="18"/>
      <c r="K32" s="26"/>
      <c r="L32" s="4"/>
      <c r="M32" s="4"/>
      <c r="N32" s="4"/>
    </row>
    <row r="33" spans="1:16" ht="11.25">
      <c r="A33" s="2" t="s">
        <v>26</v>
      </c>
      <c r="C33" s="18">
        <v>8346</v>
      </c>
      <c r="D33" s="18">
        <v>6390</v>
      </c>
      <c r="E33" s="19">
        <v>4382</v>
      </c>
      <c r="F33" s="27">
        <v>2262</v>
      </c>
      <c r="G33" s="28">
        <v>12060</v>
      </c>
      <c r="H33" s="18">
        <f>I33+2846</f>
        <v>9421</v>
      </c>
      <c r="I33" s="18">
        <f>J33+3150</f>
        <v>6575</v>
      </c>
      <c r="J33" s="18">
        <v>3425</v>
      </c>
      <c r="K33" s="21">
        <f>3825+L33</f>
        <v>14365</v>
      </c>
      <c r="L33" s="19">
        <f>3610+M33</f>
        <v>10540</v>
      </c>
      <c r="M33" s="19">
        <f>3517+N33</f>
        <v>6930</v>
      </c>
      <c r="N33" s="19">
        <v>3413</v>
      </c>
      <c r="O33" s="18">
        <v>12342</v>
      </c>
      <c r="P33" s="18">
        <v>12287</v>
      </c>
    </row>
    <row r="34" spans="1:16" ht="11.25">
      <c r="A34" s="2" t="s">
        <v>27</v>
      </c>
      <c r="C34" s="18">
        <v>3937</v>
      </c>
      <c r="D34" s="18">
        <v>3102</v>
      </c>
      <c r="E34" s="19">
        <v>2158</v>
      </c>
      <c r="F34" s="27">
        <v>1148</v>
      </c>
      <c r="G34" s="28">
        <v>6969</v>
      </c>
      <c r="H34" s="18">
        <f>I34+1621</f>
        <v>5627</v>
      </c>
      <c r="I34" s="18">
        <f>J34+1879</f>
        <v>4006</v>
      </c>
      <c r="J34" s="18">
        <v>2127</v>
      </c>
      <c r="K34" s="21">
        <f>2337+L34</f>
        <v>9155</v>
      </c>
      <c r="L34" s="19">
        <f>2376+M34</f>
        <v>6818</v>
      </c>
      <c r="M34" s="19">
        <f>2333+N34</f>
        <v>4442</v>
      </c>
      <c r="N34" s="19">
        <v>2109</v>
      </c>
      <c r="O34" s="18">
        <v>7616</v>
      </c>
      <c r="P34" s="18">
        <v>7678</v>
      </c>
    </row>
    <row r="35" spans="1:16" ht="11.25">
      <c r="A35" s="2" t="s">
        <v>28</v>
      </c>
      <c r="C35" s="19">
        <f aca="true" t="shared" si="9" ref="C35:P35">C33-C34</f>
        <v>4409</v>
      </c>
      <c r="D35" s="19">
        <f t="shared" si="9"/>
        <v>3288</v>
      </c>
      <c r="E35" s="19">
        <f t="shared" si="9"/>
        <v>2224</v>
      </c>
      <c r="F35" s="20">
        <f t="shared" si="9"/>
        <v>1114</v>
      </c>
      <c r="G35" s="18">
        <f t="shared" si="9"/>
        <v>5091</v>
      </c>
      <c r="H35" s="18">
        <f t="shared" si="9"/>
        <v>3794</v>
      </c>
      <c r="I35" s="18">
        <f t="shared" si="9"/>
        <v>2569</v>
      </c>
      <c r="J35" s="18">
        <f t="shared" si="9"/>
        <v>1298</v>
      </c>
      <c r="K35" s="21">
        <f t="shared" si="9"/>
        <v>5210</v>
      </c>
      <c r="L35" s="19">
        <f t="shared" si="9"/>
        <v>3722</v>
      </c>
      <c r="M35" s="19">
        <f t="shared" si="9"/>
        <v>2488</v>
      </c>
      <c r="N35" s="19">
        <f t="shared" si="9"/>
        <v>1304</v>
      </c>
      <c r="O35" s="18">
        <f t="shared" si="9"/>
        <v>4726</v>
      </c>
      <c r="P35" s="18">
        <f t="shared" si="9"/>
        <v>4609</v>
      </c>
    </row>
    <row r="36" spans="1:16" ht="11.25">
      <c r="A36" s="2" t="s">
        <v>29</v>
      </c>
      <c r="C36" s="18">
        <v>1571</v>
      </c>
      <c r="D36" s="18">
        <v>1159</v>
      </c>
      <c r="E36" s="19">
        <v>773</v>
      </c>
      <c r="F36" s="27">
        <v>381</v>
      </c>
      <c r="G36" s="28">
        <v>1646</v>
      </c>
      <c r="H36" s="18">
        <f>I36+391</f>
        <v>1214</v>
      </c>
      <c r="I36" s="18">
        <f>J36+441</f>
        <v>823</v>
      </c>
      <c r="J36" s="18">
        <v>382</v>
      </c>
      <c r="K36" s="21">
        <f>475+L36</f>
        <v>1735</v>
      </c>
      <c r="L36" s="19">
        <f>418+M36</f>
        <v>1260</v>
      </c>
      <c r="M36" s="19">
        <f>452+N36</f>
        <v>842</v>
      </c>
      <c r="N36" s="19">
        <v>390</v>
      </c>
      <c r="O36" s="18">
        <v>2560</v>
      </c>
      <c r="P36" s="18">
        <v>2137</v>
      </c>
    </row>
    <row r="37" spans="1:16" ht="11.25">
      <c r="A37" s="2" t="s">
        <v>30</v>
      </c>
      <c r="C37" s="19">
        <f aca="true" t="shared" si="10" ref="C37:P37">C35+C36</f>
        <v>5980</v>
      </c>
      <c r="D37" s="19">
        <f t="shared" si="10"/>
        <v>4447</v>
      </c>
      <c r="E37" s="19">
        <f t="shared" si="10"/>
        <v>2997</v>
      </c>
      <c r="F37" s="20">
        <f t="shared" si="10"/>
        <v>1495</v>
      </c>
      <c r="G37" s="18">
        <f t="shared" si="10"/>
        <v>6737</v>
      </c>
      <c r="H37" s="18">
        <f t="shared" si="10"/>
        <v>5008</v>
      </c>
      <c r="I37" s="18">
        <f t="shared" si="10"/>
        <v>3392</v>
      </c>
      <c r="J37" s="18">
        <f t="shared" si="10"/>
        <v>1680</v>
      </c>
      <c r="K37" s="21">
        <f t="shared" si="10"/>
        <v>6945</v>
      </c>
      <c r="L37" s="19">
        <f t="shared" si="10"/>
        <v>4982</v>
      </c>
      <c r="M37" s="19">
        <f t="shared" si="10"/>
        <v>3330</v>
      </c>
      <c r="N37" s="19">
        <f t="shared" si="10"/>
        <v>1694</v>
      </c>
      <c r="O37" s="18">
        <f t="shared" si="10"/>
        <v>7286</v>
      </c>
      <c r="P37" s="18">
        <f t="shared" si="10"/>
        <v>6746</v>
      </c>
    </row>
    <row r="38" spans="1:16" ht="11.25">
      <c r="A38" s="2" t="s">
        <v>31</v>
      </c>
      <c r="C38" s="18">
        <v>3679</v>
      </c>
      <c r="D38" s="18">
        <v>2729</v>
      </c>
      <c r="E38" s="19">
        <v>1845</v>
      </c>
      <c r="F38" s="27">
        <v>990</v>
      </c>
      <c r="G38" s="28">
        <v>4269</v>
      </c>
      <c r="H38" s="18">
        <f>I38+989</f>
        <v>3102</v>
      </c>
      <c r="I38" s="18">
        <f>J38+1075</f>
        <v>2113</v>
      </c>
      <c r="J38" s="18">
        <v>1038</v>
      </c>
      <c r="K38" s="21">
        <f>1212+L38</f>
        <v>4702</v>
      </c>
      <c r="L38" s="19">
        <f>1112+M38</f>
        <v>3490</v>
      </c>
      <c r="M38" s="19">
        <f>1164+N38</f>
        <v>2378</v>
      </c>
      <c r="N38" s="19">
        <v>1214</v>
      </c>
      <c r="O38" s="18">
        <v>5264</v>
      </c>
      <c r="P38" s="18">
        <v>4687</v>
      </c>
    </row>
    <row r="39" spans="1:16" ht="11.25">
      <c r="A39" s="2" t="s">
        <v>32</v>
      </c>
      <c r="C39" s="19">
        <f aca="true" t="shared" si="11" ref="C39:P39">C37-C38</f>
        <v>2301</v>
      </c>
      <c r="D39" s="19">
        <f t="shared" si="11"/>
        <v>1718</v>
      </c>
      <c r="E39" s="19">
        <f t="shared" si="11"/>
        <v>1152</v>
      </c>
      <c r="F39" s="20">
        <f t="shared" si="11"/>
        <v>505</v>
      </c>
      <c r="G39" s="18">
        <f t="shared" si="11"/>
        <v>2468</v>
      </c>
      <c r="H39" s="18">
        <f t="shared" si="11"/>
        <v>1906</v>
      </c>
      <c r="I39" s="18">
        <f t="shared" si="11"/>
        <v>1279</v>
      </c>
      <c r="J39" s="18">
        <f t="shared" si="11"/>
        <v>642</v>
      </c>
      <c r="K39" s="21">
        <f t="shared" si="11"/>
        <v>2243</v>
      </c>
      <c r="L39" s="19">
        <f t="shared" si="11"/>
        <v>1492</v>
      </c>
      <c r="M39" s="19">
        <f t="shared" si="11"/>
        <v>952</v>
      </c>
      <c r="N39" s="19">
        <f t="shared" si="11"/>
        <v>480</v>
      </c>
      <c r="O39" s="18">
        <f t="shared" si="11"/>
        <v>2022</v>
      </c>
      <c r="P39" s="18">
        <f t="shared" si="11"/>
        <v>2059</v>
      </c>
    </row>
    <row r="40" spans="1:16" ht="11.25">
      <c r="A40" s="3" t="s">
        <v>33</v>
      </c>
      <c r="B40" s="3"/>
      <c r="C40" s="22">
        <v>1474</v>
      </c>
      <c r="D40" s="22">
        <v>686</v>
      </c>
      <c r="E40" s="22">
        <v>281</v>
      </c>
      <c r="F40" s="29">
        <v>-15</v>
      </c>
      <c r="G40" s="30">
        <v>638</v>
      </c>
      <c r="H40" s="22">
        <f>I40+323</f>
        <v>409</v>
      </c>
      <c r="I40" s="22">
        <f>J40-18</f>
        <v>86</v>
      </c>
      <c r="J40" s="22">
        <v>104</v>
      </c>
      <c r="K40" s="24">
        <f>473+L40</f>
        <v>1665</v>
      </c>
      <c r="L40" s="22">
        <f>475+M40</f>
        <v>1192</v>
      </c>
      <c r="M40" s="22">
        <f>260+N40</f>
        <v>717</v>
      </c>
      <c r="N40" s="22">
        <v>457</v>
      </c>
      <c r="O40" s="22">
        <v>923</v>
      </c>
      <c r="P40" s="22">
        <v>1499</v>
      </c>
    </row>
    <row r="41" spans="1:16" ht="11.25">
      <c r="A41" s="12" t="s">
        <v>34</v>
      </c>
      <c r="E41" s="19"/>
      <c r="F41" s="25"/>
      <c r="H41" s="18"/>
      <c r="I41" s="18"/>
      <c r="K41" s="21"/>
      <c r="L41" s="19"/>
      <c r="M41" s="19"/>
      <c r="N41" s="19"/>
      <c r="O41" s="18"/>
      <c r="P41" s="18"/>
    </row>
    <row r="42" spans="1:16" ht="11.25">
      <c r="A42" s="2" t="s">
        <v>35</v>
      </c>
      <c r="C42" s="18">
        <v>1234</v>
      </c>
      <c r="D42" s="18">
        <v>1087</v>
      </c>
      <c r="E42" s="19">
        <v>1595</v>
      </c>
      <c r="F42" s="20">
        <v>2552</v>
      </c>
      <c r="G42" s="2">
        <v>3168</v>
      </c>
      <c r="H42" s="18">
        <v>3863</v>
      </c>
      <c r="I42" s="18">
        <v>4175</v>
      </c>
      <c r="J42" s="18">
        <v>3417</v>
      </c>
      <c r="K42" s="21">
        <v>2788</v>
      </c>
      <c r="L42" s="19">
        <v>882</v>
      </c>
      <c r="M42" s="19">
        <v>1406</v>
      </c>
      <c r="N42" s="19">
        <v>1652</v>
      </c>
      <c r="O42" s="18">
        <v>2213</v>
      </c>
      <c r="P42" s="18">
        <v>430</v>
      </c>
    </row>
    <row r="43" spans="1:16" ht="11.25">
      <c r="A43" s="2" t="s">
        <v>36</v>
      </c>
      <c r="C43" s="18">
        <v>1991</v>
      </c>
      <c r="D43" s="18">
        <v>2228</v>
      </c>
      <c r="E43" s="19">
        <v>3086</v>
      </c>
      <c r="F43" s="20">
        <v>3544</v>
      </c>
      <c r="G43" s="2">
        <v>3189</v>
      </c>
      <c r="H43" s="18">
        <v>2936</v>
      </c>
      <c r="I43" s="18">
        <v>3069</v>
      </c>
      <c r="J43" s="18">
        <v>2422</v>
      </c>
      <c r="K43" s="21">
        <v>1655</v>
      </c>
      <c r="L43" s="19">
        <v>1289</v>
      </c>
      <c r="M43" s="19">
        <v>1210</v>
      </c>
      <c r="N43" s="19">
        <v>1172</v>
      </c>
      <c r="O43" s="18">
        <v>1158</v>
      </c>
      <c r="P43" s="18">
        <v>1511</v>
      </c>
    </row>
    <row r="44" spans="1:16" ht="11.25">
      <c r="A44" s="2" t="s">
        <v>37</v>
      </c>
      <c r="C44" s="31">
        <f aca="true" t="shared" si="12" ref="C44:P44">C42/C12</f>
        <v>0.013847431380030074</v>
      </c>
      <c r="D44" s="31">
        <f t="shared" si="12"/>
        <v>0.011632386619009909</v>
      </c>
      <c r="E44" s="31">
        <f t="shared" si="12"/>
        <v>0.017279857860981105</v>
      </c>
      <c r="F44" s="32">
        <f t="shared" si="12"/>
        <v>0.026909328637557073</v>
      </c>
      <c r="G44" s="33">
        <f t="shared" si="12"/>
        <v>0.030490563132212396</v>
      </c>
      <c r="H44" s="33">
        <f t="shared" si="12"/>
        <v>0.03566383854796569</v>
      </c>
      <c r="I44" s="33">
        <f t="shared" si="12"/>
        <v>0.03937787670716064</v>
      </c>
      <c r="J44" s="33">
        <f t="shared" si="12"/>
        <v>0.03492722217679287</v>
      </c>
      <c r="K44" s="34">
        <f t="shared" si="12"/>
        <v>0.02723188122680211</v>
      </c>
      <c r="L44" s="31">
        <f t="shared" si="12"/>
        <v>0.008678625195564258</v>
      </c>
      <c r="M44" s="31">
        <f t="shared" si="12"/>
        <v>0.014183967879264774</v>
      </c>
      <c r="N44" s="31">
        <f t="shared" si="12"/>
        <v>0.017487403141804633</v>
      </c>
      <c r="O44" s="33">
        <f t="shared" si="12"/>
        <v>0.02304560175783894</v>
      </c>
      <c r="P44" s="33">
        <f t="shared" si="12"/>
        <v>0.00447408671404343</v>
      </c>
    </row>
    <row r="45" spans="1:16" ht="11.25">
      <c r="A45" s="2" t="s">
        <v>38</v>
      </c>
      <c r="C45" s="31">
        <f aca="true" t="shared" si="13" ref="C45:P45">C43/C42</f>
        <v>1.613452188006483</v>
      </c>
      <c r="D45" s="31">
        <f t="shared" si="13"/>
        <v>2.0496780128794847</v>
      </c>
      <c r="E45" s="31">
        <f t="shared" si="13"/>
        <v>1.934796238244514</v>
      </c>
      <c r="F45" s="32">
        <f t="shared" si="13"/>
        <v>1.3887147335423198</v>
      </c>
      <c r="G45" s="33">
        <f t="shared" si="13"/>
        <v>1.0066287878787878</v>
      </c>
      <c r="H45" s="33">
        <f t="shared" si="13"/>
        <v>0.760031063939943</v>
      </c>
      <c r="I45" s="33">
        <f t="shared" si="13"/>
        <v>0.7350898203592814</v>
      </c>
      <c r="J45" s="33">
        <f t="shared" si="13"/>
        <v>0.7088088966930055</v>
      </c>
      <c r="K45" s="34">
        <f t="shared" si="13"/>
        <v>0.5936154949784792</v>
      </c>
      <c r="L45" s="31">
        <f t="shared" si="13"/>
        <v>1.461451247165533</v>
      </c>
      <c r="M45" s="31">
        <f t="shared" si="13"/>
        <v>0.8605974395448079</v>
      </c>
      <c r="N45" s="31">
        <f t="shared" si="13"/>
        <v>0.7094430992736077</v>
      </c>
      <c r="O45" s="33">
        <f t="shared" si="13"/>
        <v>0.5232715770447357</v>
      </c>
      <c r="P45" s="33">
        <f t="shared" si="13"/>
        <v>3.513953488372093</v>
      </c>
    </row>
    <row r="46" spans="1:16" ht="11.25">
      <c r="A46" s="3" t="s">
        <v>39</v>
      </c>
      <c r="B46" s="3"/>
      <c r="C46" s="35">
        <f aca="true" t="shared" si="14" ref="C46:P46">C43/C12</f>
        <v>0.022342168458379153</v>
      </c>
      <c r="D46" s="35">
        <f t="shared" si="14"/>
        <v>0.02384264709029814</v>
      </c>
      <c r="E46" s="35">
        <f t="shared" si="14"/>
        <v>0.03343300398682614</v>
      </c>
      <c r="F46" s="36">
        <f t="shared" si="14"/>
        <v>0.03736938114870778</v>
      </c>
      <c r="G46" s="35">
        <f t="shared" si="14"/>
        <v>0.03069267860752062</v>
      </c>
      <c r="H46" s="35">
        <f t="shared" si="14"/>
        <v>0.02710562515579272</v>
      </c>
      <c r="I46" s="35">
        <f t="shared" si="14"/>
        <v>0.02894627631479665</v>
      </c>
      <c r="J46" s="35">
        <f t="shared" si="14"/>
        <v>0.02475672581568403</v>
      </c>
      <c r="K46" s="37">
        <f t="shared" si="14"/>
        <v>0.01616526665364329</v>
      </c>
      <c r="L46" s="35">
        <f t="shared" si="14"/>
        <v>0.012683387615739602</v>
      </c>
      <c r="M46" s="35">
        <f t="shared" si="14"/>
        <v>0.012206686439481064</v>
      </c>
      <c r="N46" s="35">
        <f t="shared" si="14"/>
        <v>0.012406317483168904</v>
      </c>
      <c r="O46" s="35">
        <f t="shared" si="14"/>
        <v>0.012059108375769316</v>
      </c>
      <c r="P46" s="35">
        <f t="shared" si="14"/>
        <v>0.015721732616092145</v>
      </c>
    </row>
    <row r="47" spans="1:14" ht="11.25">
      <c r="A47" s="12" t="s">
        <v>40</v>
      </c>
      <c r="E47" s="4"/>
      <c r="F47" s="25"/>
      <c r="K47" s="26"/>
      <c r="L47" s="4"/>
      <c r="M47" s="4"/>
      <c r="N47" s="4"/>
    </row>
    <row r="48" spans="1:16" ht="11.25">
      <c r="A48" s="2" t="s">
        <v>41</v>
      </c>
      <c r="C48" s="31">
        <f aca="true" t="shared" si="15" ref="C48:P48">C25/(C12+C15)</f>
        <v>0.12875642435532014</v>
      </c>
      <c r="D48" s="31">
        <f t="shared" si="15"/>
        <v>0.09543479656700127</v>
      </c>
      <c r="E48" s="31">
        <f t="shared" si="15"/>
        <v>0.0922278557808979</v>
      </c>
      <c r="F48" s="32">
        <f t="shared" si="15"/>
        <v>0.0866433986735135</v>
      </c>
      <c r="G48" s="33">
        <f t="shared" si="15"/>
        <v>0.0853697269516174</v>
      </c>
      <c r="H48" s="33">
        <f t="shared" si="15"/>
        <v>0.06345264362934719</v>
      </c>
      <c r="I48" s="33">
        <f t="shared" si="15"/>
        <v>0.06177846525315023</v>
      </c>
      <c r="J48" s="33">
        <f t="shared" si="15"/>
        <v>0.06713549758770136</v>
      </c>
      <c r="K48" s="34">
        <f t="shared" si="15"/>
        <v>0.07944911115452237</v>
      </c>
      <c r="L48" s="31">
        <f t="shared" si="15"/>
        <v>0.057975577837034706</v>
      </c>
      <c r="M48" s="31">
        <f t="shared" si="15"/>
        <v>0.05463753202994169</v>
      </c>
      <c r="N48" s="31">
        <f t="shared" si="15"/>
        <v>0.05462167083033408</v>
      </c>
      <c r="O48" s="33">
        <f t="shared" si="15"/>
        <v>0.058431482812125755</v>
      </c>
      <c r="P48" s="33">
        <f t="shared" si="15"/>
        <v>0.048829974300013526</v>
      </c>
    </row>
    <row r="49" spans="1:16" ht="11.25">
      <c r="A49" s="3" t="s">
        <v>42</v>
      </c>
      <c r="B49" s="3"/>
      <c r="C49" s="35">
        <f>C25/C10</f>
        <v>0.05972308973558193</v>
      </c>
      <c r="D49" s="35">
        <f>D25/D10</f>
        <v>0.048448170019503134</v>
      </c>
      <c r="E49" s="35">
        <f>E25/E10</f>
        <v>0.04729602097847706</v>
      </c>
      <c r="F49" s="36">
        <f>F25/F12</f>
        <v>0.0866433986735135</v>
      </c>
      <c r="G49" s="35">
        <f>G25/G12</f>
        <v>0.0853697269516174</v>
      </c>
      <c r="H49" s="35">
        <f aca="true" t="shared" si="16" ref="H49:P49">H25/H10</f>
        <v>0.03913875380112297</v>
      </c>
      <c r="I49" s="35">
        <f t="shared" si="16"/>
        <v>0.037340022232990336</v>
      </c>
      <c r="J49" s="35">
        <f t="shared" si="16"/>
        <v>0.036493754722851934</v>
      </c>
      <c r="K49" s="37">
        <f t="shared" si="16"/>
        <v>0.04281999178765832</v>
      </c>
      <c r="L49" s="35">
        <f t="shared" si="16"/>
        <v>0.03290388513796512</v>
      </c>
      <c r="M49" s="35">
        <f t="shared" si="16"/>
        <v>0.02919975630927157</v>
      </c>
      <c r="N49" s="35">
        <f t="shared" si="16"/>
        <v>0.027928122970339902</v>
      </c>
      <c r="O49" s="35">
        <f t="shared" si="16"/>
        <v>0.03101525059283294</v>
      </c>
      <c r="P49" s="35">
        <f t="shared" si="16"/>
        <v>0.02572282057606402</v>
      </c>
    </row>
    <row r="50" spans="1:16" ht="11.25">
      <c r="A50" s="12" t="s">
        <v>43</v>
      </c>
      <c r="E50" s="4"/>
      <c r="F50" s="25"/>
      <c r="J50" s="38"/>
      <c r="K50" s="39"/>
      <c r="L50" s="40"/>
      <c r="M50" s="40"/>
      <c r="N50" s="40"/>
      <c r="O50" s="38"/>
      <c r="P50" s="38"/>
    </row>
    <row r="51" spans="1:16" ht="11.25">
      <c r="A51" s="2" t="s">
        <v>44</v>
      </c>
      <c r="C51" s="40">
        <f aca="true" t="shared" si="17" ref="C51:P51">C11/C16</f>
        <v>0.5643054773963609</v>
      </c>
      <c r="D51" s="40">
        <f t="shared" si="17"/>
        <v>0.5127626459143969</v>
      </c>
      <c r="E51" s="40">
        <f t="shared" si="17"/>
        <v>0.5089947880667277</v>
      </c>
      <c r="F51" s="41">
        <f t="shared" si="17"/>
        <v>0.4825480748198561</v>
      </c>
      <c r="G51" s="38">
        <f t="shared" si="17"/>
        <v>0.45433728282890296</v>
      </c>
      <c r="H51" s="38">
        <f t="shared" si="17"/>
        <v>0.3739418825015793</v>
      </c>
      <c r="I51" s="38">
        <f t="shared" si="17"/>
        <v>0.38422928178544075</v>
      </c>
      <c r="J51" s="38">
        <f t="shared" si="17"/>
        <v>0.45449566464206376</v>
      </c>
      <c r="K51" s="39">
        <f t="shared" si="17"/>
        <v>0.4402302382753404</v>
      </c>
      <c r="L51" s="40">
        <f t="shared" si="17"/>
        <v>0.41225531289965306</v>
      </c>
      <c r="M51" s="40">
        <f t="shared" si="17"/>
        <v>0.45411127494463277</v>
      </c>
      <c r="N51" s="40">
        <f t="shared" si="17"/>
        <v>0.47106174552681557</v>
      </c>
      <c r="O51" s="38">
        <f t="shared" si="17"/>
        <v>0.45604133355606996</v>
      </c>
      <c r="P51" s="38">
        <f t="shared" si="17"/>
        <v>0.46221996167585344</v>
      </c>
    </row>
    <row r="52" spans="1:16" ht="11.25">
      <c r="A52" s="2" t="s">
        <v>45</v>
      </c>
      <c r="C52" s="40">
        <f aca="true" t="shared" si="18" ref="C52:P52">C11/C10</f>
        <v>0.5010722465125963</v>
      </c>
      <c r="D52" s="40">
        <f t="shared" si="18"/>
        <v>0.46534255431269117</v>
      </c>
      <c r="E52" s="40">
        <f t="shared" si="18"/>
        <v>0.4541318043934798</v>
      </c>
      <c r="F52" s="41">
        <f t="shared" si="18"/>
        <v>0.4300721307822987</v>
      </c>
      <c r="G52" s="38">
        <f t="shared" si="18"/>
        <v>0.3992285906945381</v>
      </c>
      <c r="H52" s="38">
        <f t="shared" si="18"/>
        <v>0.33708984886621185</v>
      </c>
      <c r="I52" s="38">
        <f t="shared" si="18"/>
        <v>0.34605934498190005</v>
      </c>
      <c r="J52" s="38">
        <f t="shared" si="18"/>
        <v>0.41036582655465176</v>
      </c>
      <c r="K52" s="39">
        <f t="shared" si="18"/>
        <v>0.39216037229282263</v>
      </c>
      <c r="L52" s="40">
        <f t="shared" si="18"/>
        <v>0.37623906135692226</v>
      </c>
      <c r="M52" s="40">
        <f t="shared" si="18"/>
        <v>0.41676505949396436</v>
      </c>
      <c r="N52" s="40">
        <f t="shared" si="18"/>
        <v>0.4336057588222559</v>
      </c>
      <c r="O52" s="38">
        <f t="shared" si="18"/>
        <v>0.42251714931651474</v>
      </c>
      <c r="P52" s="38">
        <f t="shared" si="18"/>
        <v>0.4283701937570227</v>
      </c>
    </row>
    <row r="53" spans="1:16" ht="11.25">
      <c r="A53" s="3" t="s">
        <v>46</v>
      </c>
      <c r="B53" s="3"/>
      <c r="C53" s="42">
        <f aca="true" t="shared" si="19" ref="C53:P53">(C11+C15)/C16</f>
        <v>0.5643054773963609</v>
      </c>
      <c r="D53" s="42">
        <f t="shared" si="19"/>
        <v>0.5127626459143969</v>
      </c>
      <c r="E53" s="42">
        <f t="shared" si="19"/>
        <v>0.5089947880667277</v>
      </c>
      <c r="F53" s="43">
        <f t="shared" si="19"/>
        <v>0.4825480748198561</v>
      </c>
      <c r="G53" s="42">
        <f t="shared" si="19"/>
        <v>0.45433728282890296</v>
      </c>
      <c r="H53" s="42">
        <f t="shared" si="19"/>
        <v>0.3739418825015793</v>
      </c>
      <c r="I53" s="42">
        <f t="shared" si="19"/>
        <v>0.38422928178544075</v>
      </c>
      <c r="J53" s="42">
        <f t="shared" si="19"/>
        <v>0.45449566464206376</v>
      </c>
      <c r="K53" s="44">
        <f t="shared" si="19"/>
        <v>0.4402302382753404</v>
      </c>
      <c r="L53" s="42">
        <f t="shared" si="19"/>
        <v>0.41225531289965306</v>
      </c>
      <c r="M53" s="42">
        <f t="shared" si="19"/>
        <v>0.45411127494463277</v>
      </c>
      <c r="N53" s="42">
        <f t="shared" si="19"/>
        <v>0.47106174552681557</v>
      </c>
      <c r="O53" s="42">
        <f t="shared" si="19"/>
        <v>0.45604133355606996</v>
      </c>
      <c r="P53" s="42">
        <f t="shared" si="19"/>
        <v>0.46221996167585344</v>
      </c>
    </row>
    <row r="54" spans="1:14" ht="11.25">
      <c r="A54" s="12" t="s">
        <v>47</v>
      </c>
      <c r="E54" s="4"/>
      <c r="F54" s="25"/>
      <c r="K54" s="26"/>
      <c r="L54" s="4"/>
      <c r="M54" s="4"/>
      <c r="N54" s="4"/>
    </row>
    <row r="55" spans="1:16" ht="11.25">
      <c r="A55" s="2" t="s">
        <v>48</v>
      </c>
      <c r="B55" s="4"/>
      <c r="C55" s="31">
        <f>(C40)/C28</f>
        <v>0.01527342434525814</v>
      </c>
      <c r="D55" s="31">
        <f>(D40/0.75)/D28</f>
        <v>0.009066743324263285</v>
      </c>
      <c r="E55" s="31">
        <f>(E40/0.5)/E28</f>
        <v>0.005667379290871687</v>
      </c>
      <c r="F55" s="32">
        <f>((F40)/0.25)/F28</f>
        <v>-0.0006228298273204304</v>
      </c>
      <c r="G55" s="45">
        <f>G40/G28</f>
        <v>0.00618573693166118</v>
      </c>
      <c r="H55" s="45">
        <f>(H40/0.75)/H28</f>
        <v>0.0051949866473601156</v>
      </c>
      <c r="I55" s="33">
        <f>(I40/0.5)/I28</f>
        <v>0.0016768218376797465</v>
      </c>
      <c r="J55" s="33">
        <f>((J40)/0.25)/J28</f>
        <v>0.004326573062922517</v>
      </c>
      <c r="K55" s="46">
        <f>K40/K28</f>
        <v>0.016783682027347827</v>
      </c>
      <c r="L55" s="45">
        <f>(L40/0.75)/L28</f>
        <v>0.016717066799898324</v>
      </c>
      <c r="M55" s="45">
        <f>(M40/0.5)/M28</f>
        <v>0.015579928619155489</v>
      </c>
      <c r="N55" s="31">
        <f>((N40)/0.25)/N28</f>
        <v>0.020126395525510318</v>
      </c>
      <c r="O55" s="33">
        <f>O40/O28</f>
        <v>0.009607777824041304</v>
      </c>
      <c r="P55" s="33">
        <f>P40/P28</f>
        <v>0.017289504036908883</v>
      </c>
    </row>
    <row r="56" spans="1:16" ht="11.25">
      <c r="A56" s="2" t="s">
        <v>49</v>
      </c>
      <c r="B56" s="4"/>
      <c r="C56" s="31">
        <f>(C40)/C27</f>
        <v>0.007809374958608724</v>
      </c>
      <c r="D56" s="31">
        <f>(D40/0.75)/D27</f>
        <v>0.0050860165128721255</v>
      </c>
      <c r="E56" s="31">
        <f>(E40/0.5)/E27</f>
        <v>0.003162553565047593</v>
      </c>
      <c r="F56" s="32">
        <f>((F40)/0.25)/F27</f>
        <v>-0.000333786726970802</v>
      </c>
      <c r="G56" s="45">
        <f>G40/G27</f>
        <v>0.0033996477794385254</v>
      </c>
      <c r="H56" s="45">
        <f>(H40/0.75)/H27</f>
        <v>0.0030751330568345118</v>
      </c>
      <c r="I56" s="33">
        <f>(I40/0.5)/I27</f>
        <v>0.0009531831885086008</v>
      </c>
      <c r="J56" s="33">
        <f>((J40)/0.25)/J27</f>
        <v>0.0022811019477101246</v>
      </c>
      <c r="K56" s="46">
        <f>K40/K27</f>
        <v>0.008978911691190151</v>
      </c>
      <c r="L56" s="45">
        <f>(L40/0.75)/L27</f>
        <v>0.009035205656099379</v>
      </c>
      <c r="M56" s="45">
        <f>(M40/0.5)/M27</f>
        <v>0.017014933907202833</v>
      </c>
      <c r="N56" s="31">
        <f>((N40)/0.25)/N27</f>
        <v>0.01028549565060824</v>
      </c>
      <c r="O56" s="33">
        <f>O40/O27</f>
        <v>0.005080417001508163</v>
      </c>
      <c r="P56" s="33">
        <f>P40/P27</f>
        <v>0.008773572758027322</v>
      </c>
    </row>
    <row r="57" spans="1:16" ht="11.25">
      <c r="A57" s="2" t="s">
        <v>50</v>
      </c>
      <c r="B57" s="4"/>
      <c r="C57" s="31">
        <f>(C40)/C31</f>
        <v>0.14490758946126622</v>
      </c>
      <c r="D57" s="31">
        <f>(D40/0.75)/D31</f>
        <v>0.1158465792751145</v>
      </c>
      <c r="E57" s="31">
        <f>(E40/0.5)/E31</f>
        <v>0.07461992962889198</v>
      </c>
      <c r="F57" s="32">
        <f>((F40)/0.25)/F31</f>
        <v>-0.008116334122421373</v>
      </c>
      <c r="G57" s="45">
        <f>+G40/G31</f>
        <v>0.07504116678428605</v>
      </c>
      <c r="H57" s="45">
        <f>(H40/0.75)/H31</f>
        <v>0.08544196370283327</v>
      </c>
      <c r="I57" s="33">
        <f>(I40/0.5)/I31</f>
        <v>0.028748119672405148</v>
      </c>
      <c r="J57" s="33">
        <f>((J40)/0.25)/J31</f>
        <v>0.07094133697135062</v>
      </c>
      <c r="K57" s="46">
        <f>+K40/K31</f>
        <v>0.24226991633321207</v>
      </c>
      <c r="L57" s="45">
        <f>(L40/0.75)/L31</f>
        <v>0.32004295878641426</v>
      </c>
      <c r="M57" s="45">
        <f>(M40/0.5)/M31</f>
        <v>0.30365272631021706</v>
      </c>
      <c r="N57" s="31">
        <f>((N40)/0.25)/N31</f>
        <v>0.35191067475214166</v>
      </c>
      <c r="O57" s="33">
        <f>O40/O31</f>
        <v>0.17915372670807453</v>
      </c>
      <c r="P57" s="33">
        <f>P40/P31</f>
        <v>0.36440986994044</v>
      </c>
    </row>
    <row r="58" spans="1:16" ht="11.25">
      <c r="A58" s="2" t="s">
        <v>51</v>
      </c>
      <c r="B58" s="4"/>
      <c r="C58" s="31">
        <f>(C33)/C28</f>
        <v>0.08648032536331374</v>
      </c>
      <c r="D58" s="31">
        <f>(D33/0.75)/D28</f>
        <v>0.08445552455108221</v>
      </c>
      <c r="E58" s="31">
        <f>(E33/0.5)/E28</f>
        <v>0.08837884716227663</v>
      </c>
      <c r="F58" s="32">
        <f>((F33)/0.25)/F28</f>
        <v>0.0939227379599209</v>
      </c>
      <c r="G58" s="45">
        <f>G33/G28</f>
        <v>0.11692787993077404</v>
      </c>
      <c r="H58" s="45">
        <f>(H33/0.75)/H28</f>
        <v>0.11966251639310427</v>
      </c>
      <c r="I58" s="33">
        <f>(I33/0.5)/I28</f>
        <v>0.12819887886912015</v>
      </c>
      <c r="J58" s="33">
        <f>((J33)/0.25)/J28</f>
        <v>0.14248569942797712</v>
      </c>
      <c r="K58" s="46">
        <f>K33/K28</f>
        <v>0.14480335875246336</v>
      </c>
      <c r="L58" s="45">
        <f>(L33/0.75)/L28</f>
        <v>0.14781701683802712</v>
      </c>
      <c r="M58" s="45">
        <f>(M33/0.5)/M28</f>
        <v>0.15058424732321832</v>
      </c>
      <c r="N58" s="31">
        <f>((N33)/0.25)/N28</f>
        <v>0.15030938277585712</v>
      </c>
      <c r="O58" s="33">
        <f>O33/O28</f>
        <v>0.12847149935462382</v>
      </c>
      <c r="P58" s="33">
        <f>P33/P27</f>
        <v>0.07191520245355684</v>
      </c>
    </row>
    <row r="59" spans="1:16" ht="11.25">
      <c r="A59" s="2" t="s">
        <v>52</v>
      </c>
      <c r="B59" s="4"/>
      <c r="C59" s="31">
        <f>(C34)/C28</f>
        <v>0.04079475688417999</v>
      </c>
      <c r="D59" s="31">
        <f>(D34/0.75)/D28</f>
        <v>0.04099859736423427</v>
      </c>
      <c r="E59" s="31">
        <f>(E34/0.5)/E28</f>
        <v>0.043523859465128475</v>
      </c>
      <c r="F59" s="32">
        <f>((F34)/0.25)/F28</f>
        <v>0.047667242784256936</v>
      </c>
      <c r="G59" s="45">
        <f>G34/G28</f>
        <v>0.06756802613910151</v>
      </c>
      <c r="H59" s="45">
        <f>(H34/0.75)/H28</f>
        <v>0.07147234685744588</v>
      </c>
      <c r="I59" s="33">
        <f>(I34/0.5)/I28</f>
        <v>0.07810870095052401</v>
      </c>
      <c r="J59" s="33">
        <f>((J34)/0.25)/J28</f>
        <v>0.08848673946957879</v>
      </c>
      <c r="K59" s="46">
        <f>K34/K28</f>
        <v>0.09228505042664825</v>
      </c>
      <c r="L59" s="45">
        <f>(L34/0.75)/L28</f>
        <v>0.09561825624304258</v>
      </c>
      <c r="M59" s="45">
        <f>(M34/0.5)/M28</f>
        <v>0.0965216777214626</v>
      </c>
      <c r="N59" s="31">
        <f>((N34)/0.25)/N28</f>
        <v>0.09288089313632661</v>
      </c>
      <c r="O59" s="33">
        <f>O34/O28</f>
        <v>0.07927717866511222</v>
      </c>
      <c r="P59" s="33">
        <f>P34/P27</f>
        <v>0.04493895372657357</v>
      </c>
    </row>
    <row r="60" spans="1:16" ht="11.25">
      <c r="A60" s="2" t="s">
        <v>53</v>
      </c>
      <c r="B60" s="4"/>
      <c r="C60" s="31">
        <f>(C35)/C28</f>
        <v>0.04568556847913375</v>
      </c>
      <c r="D60" s="31">
        <f>(D35/0.75)/D28</f>
        <v>0.04345692718684793</v>
      </c>
      <c r="E60" s="31">
        <f>(E35/0.5)/E28</f>
        <v>0.04485498769714816</v>
      </c>
      <c r="F60" s="32">
        <f>((F35)/0.25)/F28</f>
        <v>0.04625549517566396</v>
      </c>
      <c r="G60" s="45">
        <f>G35/G28</f>
        <v>0.04935985379167252</v>
      </c>
      <c r="H60" s="45">
        <f>(H35/0.75)/H28</f>
        <v>0.04819016953565838</v>
      </c>
      <c r="I60" s="33">
        <f>(I35/0.5)/I28</f>
        <v>0.05009017791859615</v>
      </c>
      <c r="J60" s="33">
        <f>((J35)/0.25)/J28</f>
        <v>0.05399895995839834</v>
      </c>
      <c r="K60" s="46">
        <f>K35/K28</f>
        <v>0.05251830832581512</v>
      </c>
      <c r="L60" s="45">
        <f>(L35/0.75)/L28</f>
        <v>0.05219876059498453</v>
      </c>
      <c r="M60" s="45">
        <f>(M35/0.5)/M28</f>
        <v>0.054062569601755726</v>
      </c>
      <c r="N60" s="31">
        <f>((N35)/0.25)/N28</f>
        <v>0.05742848963953053</v>
      </c>
      <c r="O60" s="33">
        <f>O35/O28</f>
        <v>0.04919432068951159</v>
      </c>
      <c r="P60" s="33">
        <f>P35/P27</f>
        <v>0.026976248726983273</v>
      </c>
    </row>
    <row r="61" spans="1:16" ht="11.25">
      <c r="A61" s="2" t="s">
        <v>54</v>
      </c>
      <c r="B61" s="4"/>
      <c r="C61" s="31">
        <f>(C38)/(C37)</f>
        <v>0.6152173913043478</v>
      </c>
      <c r="D61" s="31">
        <f>(D38/0.75)/(D37/0.75)</f>
        <v>0.6136721385203509</v>
      </c>
      <c r="E61" s="31">
        <f>(E38/0.5)/(E37/0.5)</f>
        <v>0.6156156156156156</v>
      </c>
      <c r="F61" s="32">
        <f>(F38/0.25)/(F37/0.25)</f>
        <v>0.6622073578595318</v>
      </c>
      <c r="G61" s="45">
        <f>G38/G37</f>
        <v>0.6336648359804067</v>
      </c>
      <c r="H61" s="45">
        <f>(H38/0.75)/(H37/0.75)</f>
        <v>0.619408945686901</v>
      </c>
      <c r="I61" s="33">
        <f>(I38/0.5)/(I37/0.5)</f>
        <v>0.6229363207547169</v>
      </c>
      <c r="J61" s="33">
        <f>(J38/0.25)/(J37/0.25)</f>
        <v>0.6178571428571429</v>
      </c>
      <c r="K61" s="46">
        <f>K38/K37</f>
        <v>0.6770338372930166</v>
      </c>
      <c r="L61" s="45">
        <f>(L38/0.75)/(L37/0.75)</f>
        <v>0.7005218787635487</v>
      </c>
      <c r="M61" s="45">
        <f>(M38/0.5)/(M37/0.5)</f>
        <v>0.7141141141141141</v>
      </c>
      <c r="N61" s="31">
        <f>(N38/0.25)/(N37/0.25)</f>
        <v>0.7166469893742621</v>
      </c>
      <c r="O61" s="33">
        <f>O38/O37</f>
        <v>0.7224814713148504</v>
      </c>
      <c r="P61" s="33">
        <f>P38/P37</f>
        <v>0.6947820930922027</v>
      </c>
    </row>
    <row r="62" spans="1:16" ht="11.25">
      <c r="A62" s="3" t="s">
        <v>55</v>
      </c>
      <c r="B62" s="3"/>
      <c r="C62" s="35">
        <f>(C36)/C28</f>
        <v>0.016278527575577028</v>
      </c>
      <c r="D62" s="35">
        <f>(D36/0.75)/D28</f>
        <v>0.015318302496823831</v>
      </c>
      <c r="E62" s="35">
        <f>(E36/0.5)/E28</f>
        <v>0.015590335202291155</v>
      </c>
      <c r="F62" s="36">
        <f>(F36/0.25)/F28</f>
        <v>0.01581987761393893</v>
      </c>
      <c r="G62" s="47">
        <f>G36/G28</f>
        <v>0.015958813463188563</v>
      </c>
      <c r="H62" s="47">
        <f>(H36/0.75)/H28</f>
        <v>0.01541983811710313</v>
      </c>
      <c r="I62" s="35">
        <f>(I36/0.5)/I28</f>
        <v>0.016046795028028273</v>
      </c>
      <c r="J62" s="35">
        <f>(J36/0.25)/J28</f>
        <v>0.015891835673426936</v>
      </c>
      <c r="K62" s="48">
        <f>K36/K28</f>
        <v>0.017489302292761848</v>
      </c>
      <c r="L62" s="47">
        <f>(L36/0.75)/L28</f>
        <v>0.017670724973046885</v>
      </c>
      <c r="M62" s="47">
        <f>(M36/0.5)/M28</f>
        <v>0.018296094696414116</v>
      </c>
      <c r="N62" s="35">
        <f>(N36/0.25)/N28</f>
        <v>0.017175698588509897</v>
      </c>
      <c r="O62" s="35">
        <f>O36/O28</f>
        <v>0.02664779114793688</v>
      </c>
      <c r="P62" s="35">
        <f>P36/P27</f>
        <v>0.012507755159375841</v>
      </c>
    </row>
    <row r="63" spans="1:14" ht="11.25">
      <c r="A63" s="12" t="s">
        <v>56</v>
      </c>
      <c r="E63" s="4"/>
      <c r="F63" s="25"/>
      <c r="K63" s="26"/>
      <c r="L63" s="4"/>
      <c r="M63" s="4"/>
      <c r="N63" s="4"/>
    </row>
    <row r="64" spans="1:16" ht="11.25">
      <c r="A64" s="2" t="s">
        <v>57</v>
      </c>
      <c r="C64" s="18">
        <v>52</v>
      </c>
      <c r="D64" s="18">
        <v>51</v>
      </c>
      <c r="E64" s="4">
        <v>53</v>
      </c>
      <c r="F64" s="20">
        <v>54</v>
      </c>
      <c r="G64" s="18">
        <v>44</v>
      </c>
      <c r="H64" s="18">
        <v>56</v>
      </c>
      <c r="I64" s="18">
        <v>59</v>
      </c>
      <c r="J64" s="18">
        <v>60</v>
      </c>
      <c r="K64" s="21">
        <v>60</v>
      </c>
      <c r="L64" s="19">
        <v>58</v>
      </c>
      <c r="M64" s="19">
        <v>46</v>
      </c>
      <c r="N64" s="19">
        <v>62</v>
      </c>
      <c r="O64" s="18">
        <v>63</v>
      </c>
      <c r="P64" s="18">
        <v>63</v>
      </c>
    </row>
    <row r="65" spans="1:16" ht="11.25">
      <c r="A65" s="2" t="s">
        <v>58</v>
      </c>
      <c r="C65" s="18">
        <v>3</v>
      </c>
      <c r="D65" s="18">
        <v>3</v>
      </c>
      <c r="E65" s="4">
        <v>3</v>
      </c>
      <c r="F65" s="20">
        <v>3</v>
      </c>
      <c r="G65" s="18">
        <v>3</v>
      </c>
      <c r="H65" s="18">
        <v>2</v>
      </c>
      <c r="I65" s="18">
        <v>2</v>
      </c>
      <c r="J65" s="18">
        <v>2</v>
      </c>
      <c r="K65" s="21">
        <v>2</v>
      </c>
      <c r="L65" s="19">
        <v>2</v>
      </c>
      <c r="M65" s="19">
        <v>2</v>
      </c>
      <c r="N65" s="19">
        <v>2</v>
      </c>
      <c r="O65" s="18">
        <v>2</v>
      </c>
      <c r="P65" s="18">
        <v>2</v>
      </c>
    </row>
    <row r="66" spans="1:16" ht="11.25">
      <c r="A66" s="2" t="s">
        <v>59</v>
      </c>
      <c r="C66" s="19">
        <f aca="true" t="shared" si="20" ref="C66:P66">C12/C64</f>
        <v>1713.7307692307693</v>
      </c>
      <c r="D66" s="19">
        <f t="shared" si="20"/>
        <v>1832.2745098039215</v>
      </c>
      <c r="E66" s="19">
        <f t="shared" si="20"/>
        <v>1741.5849056603774</v>
      </c>
      <c r="F66" s="20">
        <f t="shared" si="20"/>
        <v>1756.2407407407406</v>
      </c>
      <c r="G66" s="18">
        <f t="shared" si="20"/>
        <v>2361.3863636363635</v>
      </c>
      <c r="H66" s="18">
        <f t="shared" si="20"/>
        <v>1934.232142857143</v>
      </c>
      <c r="I66" s="18">
        <f t="shared" si="20"/>
        <v>1797.0169491525423</v>
      </c>
      <c r="J66" s="18">
        <f t="shared" si="20"/>
        <v>1630.5333333333333</v>
      </c>
      <c r="K66" s="21">
        <f t="shared" si="20"/>
        <v>1706.3333333333333</v>
      </c>
      <c r="L66" s="19">
        <f t="shared" si="20"/>
        <v>1752.2241379310344</v>
      </c>
      <c r="M66" s="19">
        <f t="shared" si="20"/>
        <v>2154.913043478261</v>
      </c>
      <c r="N66" s="19">
        <f t="shared" si="20"/>
        <v>1523.6774193548388</v>
      </c>
      <c r="O66" s="18">
        <f t="shared" si="20"/>
        <v>1524.2380952380952</v>
      </c>
      <c r="P66" s="18">
        <f t="shared" si="20"/>
        <v>1525.5396825396826</v>
      </c>
    </row>
    <row r="67" spans="1:16" ht="11.25">
      <c r="A67" s="2" t="s">
        <v>60</v>
      </c>
      <c r="C67" s="19">
        <f aca="true" t="shared" si="21" ref="C67:P67">C16/C64</f>
        <v>3280.6153846153848</v>
      </c>
      <c r="D67" s="19">
        <f t="shared" si="21"/>
        <v>3275.4901960784314</v>
      </c>
      <c r="E67" s="19">
        <f t="shared" si="21"/>
        <v>3030.056603773585</v>
      </c>
      <c r="F67" s="20">
        <f t="shared" si="21"/>
        <v>2963.1666666666665</v>
      </c>
      <c r="G67" s="18">
        <f t="shared" si="21"/>
        <v>3702.0454545454545</v>
      </c>
      <c r="H67" s="18">
        <f t="shared" si="21"/>
        <v>2826.785714285714</v>
      </c>
      <c r="I67" s="18">
        <f t="shared" si="21"/>
        <v>2677.7796610169494</v>
      </c>
      <c r="J67" s="18">
        <f t="shared" si="21"/>
        <v>2708.35</v>
      </c>
      <c r="K67" s="21">
        <f t="shared" si="21"/>
        <v>2820.266666666667</v>
      </c>
      <c r="L67" s="19">
        <f t="shared" si="21"/>
        <v>2817.637931034483</v>
      </c>
      <c r="M67" s="19">
        <f t="shared" si="21"/>
        <v>3700.586956521739</v>
      </c>
      <c r="N67" s="19">
        <f t="shared" si="21"/>
        <v>2743.048387096774</v>
      </c>
      <c r="O67" s="18">
        <f t="shared" si="21"/>
        <v>2660.5079365079364</v>
      </c>
      <c r="P67" s="18">
        <f t="shared" si="21"/>
        <v>2683.873015873016</v>
      </c>
    </row>
    <row r="68" spans="1:16" ht="11.25">
      <c r="A68" s="3" t="s">
        <v>61</v>
      </c>
      <c r="B68" s="3"/>
      <c r="C68" s="22">
        <f aca="true" t="shared" si="22" ref="C68:P68">(C40/C64)</f>
        <v>28.346153846153847</v>
      </c>
      <c r="D68" s="22">
        <f t="shared" si="22"/>
        <v>13.450980392156863</v>
      </c>
      <c r="E68" s="22">
        <f t="shared" si="22"/>
        <v>5.30188679245283</v>
      </c>
      <c r="F68" s="23">
        <f t="shared" si="22"/>
        <v>-0.2777777777777778</v>
      </c>
      <c r="G68" s="22">
        <f t="shared" si="22"/>
        <v>14.5</v>
      </c>
      <c r="H68" s="22">
        <f t="shared" si="22"/>
        <v>7.303571428571429</v>
      </c>
      <c r="I68" s="22">
        <f t="shared" si="22"/>
        <v>1.4576271186440677</v>
      </c>
      <c r="J68" s="22">
        <f t="shared" si="22"/>
        <v>1.7333333333333334</v>
      </c>
      <c r="K68" s="24">
        <f t="shared" si="22"/>
        <v>27.75</v>
      </c>
      <c r="L68" s="22">
        <f t="shared" si="22"/>
        <v>20.551724137931036</v>
      </c>
      <c r="M68" s="22">
        <f t="shared" si="22"/>
        <v>15.58695652173913</v>
      </c>
      <c r="N68" s="22">
        <f t="shared" si="22"/>
        <v>7.370967741935484</v>
      </c>
      <c r="O68" s="22">
        <f t="shared" si="22"/>
        <v>14.65079365079365</v>
      </c>
      <c r="P68" s="22">
        <f t="shared" si="22"/>
        <v>23.793650793650794</v>
      </c>
    </row>
    <row r="69" spans="1:14" ht="11.25">
      <c r="A69" s="12" t="s">
        <v>62</v>
      </c>
      <c r="E69" s="4"/>
      <c r="F69" s="25"/>
      <c r="K69" s="26"/>
      <c r="L69" s="4"/>
      <c r="M69" s="4"/>
      <c r="N69" s="4"/>
    </row>
    <row r="70" spans="1:16" ht="11.25">
      <c r="A70" s="2" t="s">
        <v>63</v>
      </c>
      <c r="C70" s="31">
        <f aca="true" t="shared" si="23" ref="C70:K70">(C10/G10)-1</f>
        <v>0.036385704652730944</v>
      </c>
      <c r="D70" s="31">
        <f t="shared" si="23"/>
        <v>0.0482158923954763</v>
      </c>
      <c r="E70" s="31">
        <f t="shared" si="23"/>
        <v>0.026103810962574414</v>
      </c>
      <c r="F70" s="32">
        <f t="shared" si="23"/>
        <v>-0.0024503267102280457</v>
      </c>
      <c r="G70" s="33">
        <f t="shared" si="23"/>
        <v>-0.024126385832657693</v>
      </c>
      <c r="H70" s="33">
        <f t="shared" si="23"/>
        <v>-0.019327961042514774</v>
      </c>
      <c r="I70" s="33">
        <f t="shared" si="23"/>
        <v>-0.05426970956593935</v>
      </c>
      <c r="J70" s="33">
        <f t="shared" si="23"/>
        <v>-0.025893050443818955</v>
      </c>
      <c r="K70" s="34">
        <f t="shared" si="23"/>
        <v>0.050008014990796656</v>
      </c>
      <c r="L70" s="31">
        <f>(L10/172742)-1</f>
        <v>0.03661529911660155</v>
      </c>
      <c r="M70" s="31">
        <f>(M10/168558)-1</f>
        <v>0.10039867582671835</v>
      </c>
      <c r="N70" s="31">
        <f>(N10/170692)-1</f>
        <v>0.08241745365922237</v>
      </c>
      <c r="O70" s="33">
        <f>(O10/P10)-1</f>
        <v>-0.00840801337389352</v>
      </c>
      <c r="P70" s="33">
        <f>(P10/159263)-1</f>
        <v>0.14555797642892565</v>
      </c>
    </row>
    <row r="71" spans="1:16" ht="11.25">
      <c r="A71" s="2" t="s">
        <v>64</v>
      </c>
      <c r="C71" s="31">
        <f aca="true" t="shared" si="24" ref="C71:I73">(C12/G12)-1</f>
        <v>-0.14231816825632093</v>
      </c>
      <c r="D71" s="31">
        <f t="shared" si="24"/>
        <v>-0.13729146855987517</v>
      </c>
      <c r="E71" s="31">
        <f t="shared" si="24"/>
        <v>-0.1294046630951483</v>
      </c>
      <c r="F71" s="32">
        <f t="shared" si="24"/>
        <v>-0.030613705127156776</v>
      </c>
      <c r="G71" s="33">
        <f t="shared" si="24"/>
        <v>0.01485641726899778</v>
      </c>
      <c r="H71" s="33">
        <f t="shared" si="24"/>
        <v>0.06580798787747599</v>
      </c>
      <c r="I71" s="33">
        <f t="shared" si="24"/>
        <v>0.0695882008756532</v>
      </c>
      <c r="J71" s="33">
        <f>J12/N12-1</f>
        <v>0.03560994199093881</v>
      </c>
      <c r="K71" s="34">
        <f>(K12/O12)-1</f>
        <v>0.06615847626188476</v>
      </c>
      <c r="L71" s="31">
        <f>L12/88516-1</f>
        <v>0.14814270866284063</v>
      </c>
      <c r="M71" s="31">
        <f>M12/84957-1</f>
        <v>0.1667784879409584</v>
      </c>
      <c r="N71" s="31">
        <f>N12/87184-1</f>
        <v>0.0835474398972289</v>
      </c>
      <c r="O71" s="33">
        <f>(O12/P12)-1</f>
        <v>-0.0008531979315152816</v>
      </c>
      <c r="P71" s="33">
        <f>P12/77291-1</f>
        <v>0.2434694854510875</v>
      </c>
    </row>
    <row r="72" spans="2:16" ht="11.25">
      <c r="B72" s="2" t="s">
        <v>15</v>
      </c>
      <c r="C72" s="31">
        <f t="shared" si="24"/>
        <v>-0.13721096787395126</v>
      </c>
      <c r="D72" s="31">
        <f t="shared" si="24"/>
        <v>-0.13287515441479247</v>
      </c>
      <c r="E72" s="31">
        <f t="shared" si="24"/>
        <v>-0.0892014337821786</v>
      </c>
      <c r="F72" s="32">
        <f t="shared" si="24"/>
        <v>-0.057532998580478445</v>
      </c>
      <c r="G72" s="33">
        <f t="shared" si="24"/>
        <v>-0.005352817861722259</v>
      </c>
      <c r="H72" s="33">
        <f t="shared" si="24"/>
        <v>0.04575793304967446</v>
      </c>
      <c r="I72" s="33">
        <f t="shared" si="24"/>
        <v>0.0009680032827936724</v>
      </c>
      <c r="J72" s="33">
        <f>(J13/N13)-1</f>
        <v>0.06210760818200223</v>
      </c>
      <c r="K72" s="34">
        <f>(K13/O13)-1</f>
        <v>0.078921364105492</v>
      </c>
      <c r="L72" s="31">
        <f>(L13/84278)-1</f>
        <v>0.1573008377037899</v>
      </c>
      <c r="M72" s="31">
        <f>(M13/79915)-1</f>
        <v>0.18927610586247878</v>
      </c>
      <c r="N72" s="31">
        <f>(N13/80072)-1</f>
        <v>0.1099760215805774</v>
      </c>
      <c r="O72" s="33">
        <f>(O13/P13)-1</f>
        <v>0.017472127265008908</v>
      </c>
      <c r="P72" s="33">
        <f>(P13/77291)-1</f>
        <v>0.15814260392542479</v>
      </c>
    </row>
    <row r="73" spans="2:16" ht="11.25">
      <c r="B73" s="2" t="s">
        <v>16</v>
      </c>
      <c r="C73" s="31">
        <f t="shared" si="24"/>
        <v>-0.22334036682356762</v>
      </c>
      <c r="D73" s="31">
        <f t="shared" si="24"/>
        <v>-0.20857730653584428</v>
      </c>
      <c r="E73" s="31">
        <f t="shared" si="24"/>
        <v>-0.4805802956569645</v>
      </c>
      <c r="F73" s="32">
        <f t="shared" si="24"/>
        <v>0.7093768200349446</v>
      </c>
      <c r="G73" s="33">
        <f t="shared" si="24"/>
        <v>0.4975692756441419</v>
      </c>
      <c r="H73" s="33">
        <f t="shared" si="24"/>
        <v>0.5434782608695652</v>
      </c>
      <c r="I73" s="33">
        <f t="shared" si="24"/>
        <v>1.66609547123623</v>
      </c>
      <c r="J73" s="33">
        <f>(J14/N14)-1</f>
        <v>-0.3856887298747764</v>
      </c>
      <c r="K73" s="34">
        <f>(K14/O14)-1</f>
        <v>-0.16872095372802587</v>
      </c>
      <c r="L73" s="31">
        <f>(L14/4238)-1</f>
        <v>-0.03397829164700328</v>
      </c>
      <c r="M73" s="31">
        <f>(M14/5042)-1</f>
        <v>-0.18980563268544226</v>
      </c>
      <c r="N73" s="31">
        <f>(N14/7112)-1</f>
        <v>-0.21400449943757027</v>
      </c>
      <c r="O73" s="33">
        <f>(O14/P14)-1</f>
        <v>-0.2495830174374526</v>
      </c>
      <c r="P73" s="33">
        <v>0</v>
      </c>
    </row>
    <row r="74" spans="1:16" ht="11.25">
      <c r="A74" s="2" t="s">
        <v>65</v>
      </c>
      <c r="C74" s="31">
        <f aca="true" t="shared" si="25" ref="C74:K75">(C16/G16)-1</f>
        <v>0.047283442814169074</v>
      </c>
      <c r="D74" s="31">
        <f t="shared" si="25"/>
        <v>0.05527479469361962</v>
      </c>
      <c r="E74" s="31">
        <f t="shared" si="25"/>
        <v>0.016482160150390168</v>
      </c>
      <c r="F74" s="32">
        <f t="shared" si="25"/>
        <v>-0.015322982627799187</v>
      </c>
      <c r="G74" s="33">
        <f t="shared" si="25"/>
        <v>-0.03738417170953101</v>
      </c>
      <c r="H74" s="33">
        <f t="shared" si="25"/>
        <v>-0.03134809665714133</v>
      </c>
      <c r="I74" s="33">
        <f t="shared" si="25"/>
        <v>-0.07189223801159628</v>
      </c>
      <c r="J74" s="33">
        <f t="shared" si="25"/>
        <v>-0.044499585462371205</v>
      </c>
      <c r="K74" s="34">
        <f t="shared" si="25"/>
        <v>0.009569720545068439</v>
      </c>
      <c r="L74" s="31">
        <f>L16/159763-1</f>
        <v>0.022908933858277525</v>
      </c>
      <c r="M74" s="31">
        <f>M16/155660-1</f>
        <v>0.0935821662597971</v>
      </c>
      <c r="N74" s="31">
        <f>N16/156619-1</f>
        <v>0.08587719242237535</v>
      </c>
      <c r="O74" s="33">
        <f>(O16/P16)-1</f>
        <v>-0.00870573206217029</v>
      </c>
      <c r="P74" s="33">
        <f>P16/145208-1</f>
        <v>0.16442620241309025</v>
      </c>
    </row>
    <row r="75" spans="2:16" ht="11.25">
      <c r="B75" s="2" t="s">
        <v>15</v>
      </c>
      <c r="C75" s="31">
        <f t="shared" si="25"/>
        <v>0.1259745847193512</v>
      </c>
      <c r="D75" s="31">
        <f t="shared" si="25"/>
        <v>0.1648719541658039</v>
      </c>
      <c r="E75" s="31">
        <f t="shared" si="25"/>
        <v>0.0989048516250588</v>
      </c>
      <c r="F75" s="32">
        <f t="shared" si="25"/>
        <v>-0.03612892582434579</v>
      </c>
      <c r="G75" s="33">
        <f t="shared" si="25"/>
        <v>-0.0750558089876735</v>
      </c>
      <c r="H75" s="33">
        <f t="shared" si="25"/>
        <v>-0.08807453025168643</v>
      </c>
      <c r="I75" s="33">
        <f t="shared" si="25"/>
        <v>-0.05116258282215447</v>
      </c>
      <c r="J75" s="33">
        <f t="shared" si="25"/>
        <v>0.0005467694180516514</v>
      </c>
      <c r="K75" s="34">
        <f t="shared" si="25"/>
        <v>0.5507224563515953</v>
      </c>
      <c r="L75" s="31">
        <f>(L17/59073)-1</f>
        <v>0.613545951619183</v>
      </c>
      <c r="M75" s="31">
        <f>(M17/57021)-1</f>
        <v>0.5695796285578998</v>
      </c>
      <c r="N75" s="31">
        <f>(N17/57455)-1</f>
        <v>0.6871116525976853</v>
      </c>
      <c r="O75" s="33">
        <f>(O17/P17)-1</f>
        <v>-0.006341229959320405</v>
      </c>
      <c r="P75" s="33">
        <f>(P17/45763)-1</f>
        <v>0.46109302274763464</v>
      </c>
    </row>
    <row r="76" spans="2:16" ht="11.25">
      <c r="B76" s="2" t="s">
        <v>16</v>
      </c>
      <c r="C76" s="31">
        <f aca="true" t="shared" si="26" ref="C76:K76">(C21/G21)-1</f>
        <v>-0.06366043821105738</v>
      </c>
      <c r="D76" s="31">
        <f t="shared" si="26"/>
        <v>-0.07818935806551042</v>
      </c>
      <c r="E76" s="31">
        <f t="shared" si="26"/>
        <v>-0.07930859872175611</v>
      </c>
      <c r="F76" s="32">
        <f t="shared" si="26"/>
        <v>0.0154773715942913</v>
      </c>
      <c r="G76" s="33">
        <f t="shared" si="26"/>
        <v>0.02125827214214482</v>
      </c>
      <c r="H76" s="33">
        <f t="shared" si="26"/>
        <v>0.04804275687898274</v>
      </c>
      <c r="I76" s="33">
        <f t="shared" si="26"/>
        <v>-0.09487414527797045</v>
      </c>
      <c r="J76" s="33">
        <f t="shared" si="26"/>
        <v>-0.10420312841828916</v>
      </c>
      <c r="K76" s="34">
        <f t="shared" si="26"/>
        <v>-0.3458071403155023</v>
      </c>
      <c r="L76" s="31">
        <f>(L21/100690)-1</f>
        <v>-0.32360711093455163</v>
      </c>
      <c r="M76" s="31">
        <f>(M21/98638)-1</f>
        <v>-0.1815730245949837</v>
      </c>
      <c r="N76" s="31">
        <f>(N21/99165)-1</f>
        <v>-0.2624817223818887</v>
      </c>
      <c r="O76" s="33">
        <f>(O21/P21)-1</f>
        <v>-0.010252396791234575</v>
      </c>
      <c r="P76" s="33">
        <f>(P21/99445)-1</f>
        <v>0.02790487203982095</v>
      </c>
    </row>
    <row r="77" spans="1:16" ht="11.25">
      <c r="A77" s="2" t="s">
        <v>66</v>
      </c>
      <c r="C77" s="31">
        <f aca="true" t="shared" si="27" ref="C77:K77">(C25/G25)-1</f>
        <v>0.29357384441939116</v>
      </c>
      <c r="D77" s="31">
        <f t="shared" si="27"/>
        <v>0.29754110286628843</v>
      </c>
      <c r="E77" s="31">
        <f t="shared" si="27"/>
        <v>0.29969465648854965</v>
      </c>
      <c r="F77" s="32">
        <f t="shared" si="27"/>
        <v>0.25106577344701586</v>
      </c>
      <c r="G77" s="33">
        <f t="shared" si="27"/>
        <v>0.09048438652569457</v>
      </c>
      <c r="H77" s="33">
        <f t="shared" si="27"/>
        <v>0.1664969450101832</v>
      </c>
      <c r="I77" s="33">
        <f t="shared" si="27"/>
        <v>0.20937961595273258</v>
      </c>
      <c r="J77" s="33">
        <f t="shared" si="27"/>
        <v>0.27286821705426356</v>
      </c>
      <c r="K77" s="34">
        <f t="shared" si="27"/>
        <v>0.44965246836571016</v>
      </c>
      <c r="L77" s="31">
        <f>(L25/4040)-1</f>
        <v>0.4584158415841584</v>
      </c>
      <c r="M77" s="31">
        <f>(M25/4029)-1</f>
        <v>0.3442541573591462</v>
      </c>
      <c r="N77" s="31">
        <f>(N25/5229)-1</f>
        <v>-0.01319563970166382</v>
      </c>
      <c r="O77" s="33">
        <f>(O25/P25)-1</f>
        <v>0.19561048369912637</v>
      </c>
      <c r="P77" s="33">
        <f>(P25/3534)-1</f>
        <v>0.32795698924731176</v>
      </c>
    </row>
    <row r="78" spans="1:16" ht="11.25">
      <c r="A78" s="3" t="s">
        <v>67</v>
      </c>
      <c r="B78" s="3"/>
      <c r="C78" s="35">
        <f aca="true" t="shared" si="28" ref="C78:K78">(C40/G40)-1</f>
        <v>1.3103448275862069</v>
      </c>
      <c r="D78" s="35">
        <f t="shared" si="28"/>
        <v>0.6772616136919316</v>
      </c>
      <c r="E78" s="35">
        <f t="shared" si="28"/>
        <v>2.2674418604651163</v>
      </c>
      <c r="F78" s="36">
        <f t="shared" si="28"/>
        <v>-1.1442307692307692</v>
      </c>
      <c r="G78" s="35">
        <f t="shared" si="28"/>
        <v>-0.6168168168168169</v>
      </c>
      <c r="H78" s="35">
        <f t="shared" si="28"/>
        <v>-0.6568791946308725</v>
      </c>
      <c r="I78" s="35">
        <f t="shared" si="28"/>
        <v>-0.8800557880055788</v>
      </c>
      <c r="J78" s="35">
        <f t="shared" si="28"/>
        <v>-0.7724288840262582</v>
      </c>
      <c r="K78" s="37">
        <f t="shared" si="28"/>
        <v>0.8039003250270855</v>
      </c>
      <c r="L78" s="35">
        <f>(L40/772)-1</f>
        <v>0.544041450777202</v>
      </c>
      <c r="M78" s="35">
        <f>(M40/895)-1</f>
        <v>-0.19888268156424582</v>
      </c>
      <c r="N78" s="35">
        <f>(N40/586)-1</f>
        <v>-0.2201365187713311</v>
      </c>
      <c r="O78" s="35">
        <f>(O40/P40)-1</f>
        <v>-0.3842561707805203</v>
      </c>
      <c r="P78" s="35">
        <f>(P40/1150)-1</f>
        <v>0.3034782608695652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2017-06-16T16:14:07Z</dcterms:created>
  <dcterms:modified xsi:type="dcterms:W3CDTF">2017-06-16T16:14:09Z</dcterms:modified>
  <cp:category/>
  <cp:version/>
  <cp:contentType/>
  <cp:contentStatus/>
</cp:coreProperties>
</file>