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oston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<sst xmlns="http://schemas.openxmlformats.org/spreadsheetml/2006/main" count="89" uniqueCount="68">
  <si>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18-35</t>
  </si>
  <si>
    <t>BANKBOSTON NATIONAL ASSOCIATION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</si>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</sst>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right"/>
    </xf>
    <xf numFmtId="195" fontId="1" fillId="0" borderId="0" xfId="46" applyNumberFormat="1" applyFont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0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0" xfId="5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95" fontId="5" fillId="0" borderId="0" xfId="46" applyNumberFormat="1" applyFont="1" applyAlignment="1">
      <alignment/>
    </xf>
    <xf numFmtId="195" fontId="5" fillId="0" borderId="16" xfId="46" applyNumberFormat="1" applyFont="1" applyBorder="1" applyAlignment="1">
      <alignment/>
    </xf>
    <xf numFmtId="195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195" fontId="4" fillId="0" borderId="0" xfId="46" applyNumberFormat="1" applyFont="1" applyAlignment="1">
      <alignment/>
    </xf>
    <xf numFmtId="195" fontId="4" fillId="0" borderId="0" xfId="46" applyNumberFormat="1" applyFont="1" applyBorder="1" applyAlignment="1">
      <alignment/>
    </xf>
    <xf numFmtId="195" fontId="4" fillId="0" borderId="15" xfId="46" applyNumberFormat="1" applyFont="1" applyBorder="1" applyAlignment="1">
      <alignment/>
    </xf>
    <xf numFmtId="195" fontId="4" fillId="0" borderId="16" xfId="46" applyNumberFormat="1" applyFont="1" applyBorder="1" applyAlignment="1">
      <alignment/>
    </xf>
    <xf numFmtId="195" fontId="4" fillId="0" borderId="10" xfId="46" applyNumberFormat="1" applyFont="1" applyBorder="1" applyAlignment="1">
      <alignment/>
    </xf>
    <xf numFmtId="195" fontId="4" fillId="0" borderId="13" xfId="46" applyNumberFormat="1" applyFont="1" applyBorder="1" applyAlignment="1">
      <alignment/>
    </xf>
    <xf numFmtId="195" fontId="4" fillId="0" borderId="14" xfId="46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15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195" fontId="4" fillId="0" borderId="13" xfId="0" applyNumberFormat="1" applyFont="1" applyBorder="1" applyAlignment="1">
      <alignment/>
    </xf>
    <xf numFmtId="195" fontId="4" fillId="0" borderId="10" xfId="0" applyNumberFormat="1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3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197" fontId="4" fillId="0" borderId="0" xfId="52" applyNumberFormat="1" applyFont="1" applyAlignment="1">
      <alignment/>
    </xf>
    <xf numFmtId="197" fontId="4" fillId="0" borderId="16" xfId="52" applyNumberFormat="1" applyFont="1" applyBorder="1" applyAlignment="1">
      <alignment/>
    </xf>
    <xf numFmtId="197" fontId="4" fillId="0" borderId="0" xfId="52" applyNumberFormat="1" applyFont="1" applyBorder="1" applyAlignment="1">
      <alignment/>
    </xf>
    <xf numFmtId="197" fontId="4" fillId="0" borderId="15" xfId="52" applyNumberFormat="1" applyFont="1" applyBorder="1" applyAlignment="1">
      <alignment/>
    </xf>
    <xf numFmtId="197" fontId="4" fillId="0" borderId="10" xfId="52" applyNumberFormat="1" applyFont="1" applyBorder="1" applyAlignment="1">
      <alignment/>
    </xf>
    <xf numFmtId="197" fontId="4" fillId="0" borderId="13" xfId="52" applyNumberFormat="1" applyFont="1" applyBorder="1" applyAlignment="1">
      <alignment/>
    </xf>
    <xf numFmtId="197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5</xdr:row>
      <xdr:rowOff>19050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11.421875" defaultRowHeight="12.75"/>
  <cols>
    <col min="1" max="1" width="1.57421875" style="25" customWidth="1"/>
    <col min="2" max="2" width="25.8515625" style="25" customWidth="1"/>
    <col min="3" max="3" width="8.28125" style="25" customWidth="1"/>
    <col min="4" max="4" width="8.140625" style="25" customWidth="1"/>
    <col min="5" max="5" width="7.57421875" style="25" customWidth="1"/>
    <col min="6" max="6" width="7.7109375" style="25" customWidth="1"/>
    <col min="7" max="7" width="8.140625" style="25" bestFit="1" customWidth="1"/>
    <col min="8" max="8" width="8.140625" style="25" customWidth="1"/>
    <col min="9" max="9" width="7.421875" style="25" customWidth="1"/>
    <col min="10" max="10" width="8.28125" style="25" customWidth="1"/>
    <col min="11" max="11" width="8.140625" style="25" customWidth="1"/>
    <col min="12" max="12" width="7.8515625" style="25" customWidth="1"/>
    <col min="13" max="13" width="8.140625" style="25" customWidth="1"/>
    <col min="14" max="14" width="7.7109375" style="25" customWidth="1"/>
    <col min="15" max="15" width="6.421875" style="1" hidden="1" customWidth="1"/>
    <col min="16" max="16" width="6.57421875" style="1" hidden="1" customWidth="1"/>
    <col min="17" max="16384" width="11.421875" style="1" customWidth="1"/>
  </cols>
  <sheetData>
    <row r="1" spans="2:16" ht="9.75" customHeight="1">
      <c r="B1" s="58"/>
      <c r="C1" s="58"/>
      <c r="D1" s="58"/>
      <c r="E1" s="58"/>
      <c r="F1" s="58"/>
      <c r="H1" s="58" t="s">
        <v>0</v>
      </c>
      <c r="I1" s="58"/>
      <c r="J1" s="58"/>
      <c r="K1" s="58"/>
      <c r="L1" s="58"/>
      <c r="M1" s="58"/>
      <c r="N1" s="58"/>
      <c r="O1" s="58"/>
      <c r="P1" s="58"/>
    </row>
    <row r="2" spans="2:16" ht="9.75" customHeight="1">
      <c r="B2" s="58"/>
      <c r="C2" s="58"/>
      <c r="D2" s="58"/>
      <c r="E2" s="58"/>
      <c r="F2" s="58"/>
      <c r="H2" s="58" t="s">
        <v>1</v>
      </c>
      <c r="I2" s="58"/>
      <c r="J2" s="58"/>
      <c r="K2" s="58"/>
      <c r="L2" s="58"/>
      <c r="M2" s="58"/>
      <c r="N2" s="58"/>
      <c r="O2" s="58"/>
      <c r="P2" s="58"/>
    </row>
    <row r="3" spans="2:16" ht="11.25">
      <c r="B3" s="58"/>
      <c r="C3" s="58"/>
      <c r="D3" s="58"/>
      <c r="E3" s="58"/>
      <c r="F3" s="58"/>
      <c r="H3" s="58" t="s">
        <v>2</v>
      </c>
      <c r="I3" s="58"/>
      <c r="J3" s="58"/>
      <c r="K3" s="58"/>
      <c r="L3" s="58"/>
      <c r="M3" s="58"/>
      <c r="N3" s="58"/>
      <c r="O3" s="58"/>
      <c r="P3" s="58"/>
    </row>
    <row r="4" spans="1:16" ht="11.25">
      <c r="A4" s="1"/>
      <c r="B4" s="57"/>
      <c r="C4" s="57"/>
      <c r="D4" s="57"/>
      <c r="E4" s="57"/>
      <c r="F4" s="57"/>
      <c r="G4" s="1"/>
      <c r="H4" s="57" t="s">
        <v>3</v>
      </c>
      <c r="I4" s="57"/>
      <c r="J4" s="57"/>
      <c r="K4" s="57"/>
      <c r="L4" s="57"/>
      <c r="M4" s="57"/>
      <c r="N4" s="57"/>
      <c r="O4" s="57"/>
      <c r="P4" s="57"/>
    </row>
    <row r="5" spans="1:16" ht="11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1"/>
      <c r="P6" s="11"/>
    </row>
    <row r="7" spans="1:16" ht="11.25">
      <c r="A7" s="13"/>
      <c r="B7" s="13"/>
      <c r="C7" s="60">
        <v>2002</v>
      </c>
      <c r="D7" s="60"/>
      <c r="E7" s="60"/>
      <c r="F7" s="62"/>
      <c r="G7" s="60">
        <v>2001</v>
      </c>
      <c r="H7" s="60"/>
      <c r="I7" s="60"/>
      <c r="J7" s="60"/>
      <c r="K7" s="59">
        <v>2000</v>
      </c>
      <c r="L7" s="60"/>
      <c r="M7" s="60"/>
      <c r="N7" s="60"/>
      <c r="O7" s="61" t="s">
        <v>4</v>
      </c>
      <c r="P7" s="61"/>
    </row>
    <row r="8" spans="1:16" ht="11.25">
      <c r="A8" s="14"/>
      <c r="B8" s="14"/>
      <c r="C8" s="15" t="s">
        <v>5</v>
      </c>
      <c r="D8" s="14" t="s">
        <v>6</v>
      </c>
      <c r="E8" s="16" t="s">
        <v>7</v>
      </c>
      <c r="F8" s="17" t="s">
        <v>8</v>
      </c>
      <c r="G8" s="15" t="s">
        <v>5</v>
      </c>
      <c r="H8" s="14" t="s">
        <v>6</v>
      </c>
      <c r="I8" s="14" t="s">
        <v>7</v>
      </c>
      <c r="J8" s="14" t="s">
        <v>8</v>
      </c>
      <c r="K8" s="18" t="s">
        <v>5</v>
      </c>
      <c r="L8" s="14" t="s">
        <v>6</v>
      </c>
      <c r="M8" s="14" t="s">
        <v>7</v>
      </c>
      <c r="N8" s="15" t="s">
        <v>8</v>
      </c>
      <c r="O8" s="2" t="s">
        <v>9</v>
      </c>
      <c r="P8" s="2" t="s">
        <v>10</v>
      </c>
    </row>
    <row r="9" spans="1:16" ht="11.25">
      <c r="A9" s="19" t="s">
        <v>11</v>
      </c>
      <c r="B9" s="19"/>
      <c r="C9" s="19"/>
      <c r="D9" s="19"/>
      <c r="E9" s="20"/>
      <c r="F9" s="21"/>
      <c r="G9" s="19"/>
      <c r="H9" s="19"/>
      <c r="I9" s="19"/>
      <c r="J9" s="22"/>
      <c r="K9" s="23"/>
      <c r="L9" s="24"/>
      <c r="M9" s="24"/>
      <c r="N9" s="24"/>
      <c r="O9" s="3"/>
      <c r="P9" s="3"/>
    </row>
    <row r="10" spans="1:16" ht="11.25">
      <c r="A10" s="25" t="s">
        <v>12</v>
      </c>
      <c r="C10" s="26">
        <v>425666</v>
      </c>
      <c r="D10" s="26">
        <v>424199</v>
      </c>
      <c r="E10" s="27">
        <v>430386</v>
      </c>
      <c r="F10" s="28">
        <v>396271</v>
      </c>
      <c r="G10" s="26">
        <v>441875</v>
      </c>
      <c r="H10" s="26">
        <v>384592</v>
      </c>
      <c r="I10" s="26">
        <v>384940</v>
      </c>
      <c r="J10" s="26">
        <v>444980</v>
      </c>
      <c r="K10" s="29">
        <v>463990</v>
      </c>
      <c r="L10" s="27">
        <v>323073</v>
      </c>
      <c r="M10" s="27">
        <v>315556</v>
      </c>
      <c r="N10" s="27">
        <v>318107</v>
      </c>
      <c r="O10" s="5">
        <v>298994</v>
      </c>
      <c r="P10" s="5">
        <v>301793</v>
      </c>
    </row>
    <row r="11" spans="1:16" ht="11.25">
      <c r="A11" s="25" t="s">
        <v>13</v>
      </c>
      <c r="C11" s="26">
        <v>46564</v>
      </c>
      <c r="D11" s="26">
        <v>36836</v>
      </c>
      <c r="E11" s="27">
        <v>24094</v>
      </c>
      <c r="F11" s="28">
        <v>20053</v>
      </c>
      <c r="G11" s="26">
        <v>60735</v>
      </c>
      <c r="H11" s="26">
        <v>40031</v>
      </c>
      <c r="I11" s="26">
        <v>27284</v>
      </c>
      <c r="J11" s="26">
        <v>121315</v>
      </c>
      <c r="K11" s="29">
        <v>161955</v>
      </c>
      <c r="L11" s="27">
        <v>51968</v>
      </c>
      <c r="M11" s="27">
        <v>44526</v>
      </c>
      <c r="N11" s="27">
        <v>85473</v>
      </c>
      <c r="O11" s="5">
        <v>67459</v>
      </c>
      <c r="P11" s="5">
        <v>85635</v>
      </c>
    </row>
    <row r="12" spans="1:16" ht="11.25">
      <c r="A12" s="25" t="s">
        <v>14</v>
      </c>
      <c r="C12" s="27">
        <f aca="true" t="shared" si="0" ref="C12:P12">C13+C14</f>
        <v>328879</v>
      </c>
      <c r="D12" s="27">
        <f t="shared" si="0"/>
        <v>331573</v>
      </c>
      <c r="E12" s="27">
        <f t="shared" si="0"/>
        <v>348101</v>
      </c>
      <c r="F12" s="28">
        <f t="shared" si="0"/>
        <v>317593</v>
      </c>
      <c r="G12" s="26">
        <f t="shared" si="0"/>
        <v>319642</v>
      </c>
      <c r="H12" s="26">
        <f t="shared" si="0"/>
        <v>286378</v>
      </c>
      <c r="I12" s="26">
        <f t="shared" si="0"/>
        <v>293690</v>
      </c>
      <c r="J12" s="26">
        <f t="shared" si="0"/>
        <v>264235</v>
      </c>
      <c r="K12" s="29">
        <f t="shared" si="0"/>
        <v>268358</v>
      </c>
      <c r="L12" s="27">
        <f t="shared" si="0"/>
        <v>257485</v>
      </c>
      <c r="M12" s="27">
        <f t="shared" si="0"/>
        <v>258265</v>
      </c>
      <c r="N12" s="27">
        <f t="shared" si="0"/>
        <v>225439</v>
      </c>
      <c r="O12" s="5">
        <f t="shared" si="0"/>
        <v>226297</v>
      </c>
      <c r="P12" s="5">
        <f t="shared" si="0"/>
        <v>212508</v>
      </c>
    </row>
    <row r="13" spans="2:16" ht="11.25">
      <c r="B13" s="25" t="s">
        <v>15</v>
      </c>
      <c r="C13" s="26">
        <v>326825</v>
      </c>
      <c r="D13" s="26">
        <v>329348</v>
      </c>
      <c r="E13" s="27">
        <v>346208</v>
      </c>
      <c r="F13" s="28">
        <v>315533</v>
      </c>
      <c r="G13" s="26">
        <v>302417</v>
      </c>
      <c r="H13" s="26">
        <v>269758</v>
      </c>
      <c r="I13" s="26">
        <v>265416</v>
      </c>
      <c r="J13" s="26">
        <v>235666</v>
      </c>
      <c r="K13" s="29">
        <v>237759</v>
      </c>
      <c r="L13" s="27">
        <v>228965</v>
      </c>
      <c r="M13" s="27">
        <v>225067</v>
      </c>
      <c r="N13" s="27">
        <v>192232</v>
      </c>
      <c r="O13" s="5">
        <v>192765</v>
      </c>
      <c r="P13" s="5">
        <v>138022</v>
      </c>
    </row>
    <row r="14" spans="2:16" ht="11.25">
      <c r="B14" s="25" t="s">
        <v>16</v>
      </c>
      <c r="C14" s="26">
        <v>2054</v>
      </c>
      <c r="D14" s="26">
        <v>2225</v>
      </c>
      <c r="E14" s="27">
        <v>1893</v>
      </c>
      <c r="F14" s="28">
        <v>2060</v>
      </c>
      <c r="G14" s="26">
        <v>17225</v>
      </c>
      <c r="H14" s="26">
        <v>16620</v>
      </c>
      <c r="I14" s="26">
        <v>28274</v>
      </c>
      <c r="J14" s="26">
        <v>28569</v>
      </c>
      <c r="K14" s="29">
        <v>30599</v>
      </c>
      <c r="L14" s="27">
        <v>28520</v>
      </c>
      <c r="M14" s="27">
        <v>33198</v>
      </c>
      <c r="N14" s="27">
        <v>33207</v>
      </c>
      <c r="O14" s="5">
        <v>33532</v>
      </c>
      <c r="P14" s="5">
        <v>74486</v>
      </c>
    </row>
    <row r="15" spans="1:16" ht="11.25">
      <c r="A15" s="25" t="s">
        <v>17</v>
      </c>
      <c r="C15" s="26">
        <v>46101</v>
      </c>
      <c r="D15" s="26">
        <v>51545</v>
      </c>
      <c r="E15" s="27">
        <v>54918</v>
      </c>
      <c r="F15" s="28">
        <v>54670</v>
      </c>
      <c r="G15" s="26">
        <v>56621</v>
      </c>
      <c r="H15" s="26">
        <v>53975</v>
      </c>
      <c r="I15" s="26">
        <v>57968</v>
      </c>
      <c r="J15" s="26">
        <v>54344</v>
      </c>
      <c r="K15" s="29">
        <v>28480</v>
      </c>
      <c r="L15" s="27">
        <v>9000</v>
      </c>
      <c r="M15" s="27">
        <v>8765</v>
      </c>
      <c r="N15" s="27">
        <v>1964</v>
      </c>
      <c r="O15" s="5">
        <v>1965</v>
      </c>
      <c r="P15" s="5">
        <v>0</v>
      </c>
    </row>
    <row r="16" spans="1:16" ht="11.25">
      <c r="A16" s="25" t="s">
        <v>18</v>
      </c>
      <c r="C16" s="27">
        <f aca="true" t="shared" si="1" ref="C16:P16">C17+C21</f>
        <v>378806</v>
      </c>
      <c r="D16" s="27">
        <f t="shared" si="1"/>
        <v>373122</v>
      </c>
      <c r="E16" s="27">
        <f t="shared" si="1"/>
        <v>387995</v>
      </c>
      <c r="F16" s="28">
        <f t="shared" si="1"/>
        <v>356176</v>
      </c>
      <c r="G16" s="26">
        <f t="shared" si="1"/>
        <v>402577</v>
      </c>
      <c r="H16" s="26">
        <f t="shared" si="1"/>
        <v>348189</v>
      </c>
      <c r="I16" s="26">
        <f t="shared" si="1"/>
        <v>349348</v>
      </c>
      <c r="J16" s="26">
        <f t="shared" si="1"/>
        <v>409924</v>
      </c>
      <c r="K16" s="29">
        <f t="shared" si="1"/>
        <v>428873</v>
      </c>
      <c r="L16" s="27">
        <f t="shared" si="1"/>
        <v>292051</v>
      </c>
      <c r="M16" s="27">
        <f t="shared" si="1"/>
        <v>287880</v>
      </c>
      <c r="N16" s="27">
        <f t="shared" si="1"/>
        <v>289701</v>
      </c>
      <c r="O16" s="5">
        <f t="shared" si="1"/>
        <v>273077</v>
      </c>
      <c r="P16" s="5">
        <f t="shared" si="1"/>
        <v>279033</v>
      </c>
    </row>
    <row r="17" spans="2:16" ht="11.25">
      <c r="B17" s="25" t="s">
        <v>15</v>
      </c>
      <c r="C17" s="27">
        <f aca="true" t="shared" si="2" ref="C17:P17">SUM(C18:C20)</f>
        <v>243358</v>
      </c>
      <c r="D17" s="27">
        <f t="shared" si="2"/>
        <v>224407</v>
      </c>
      <c r="E17" s="27">
        <f t="shared" si="2"/>
        <v>235451</v>
      </c>
      <c r="F17" s="28">
        <f t="shared" si="2"/>
        <v>207657</v>
      </c>
      <c r="G17" s="26">
        <f t="shared" si="2"/>
        <v>230943</v>
      </c>
      <c r="H17" s="26">
        <f t="shared" si="2"/>
        <v>195453</v>
      </c>
      <c r="I17" s="26">
        <f t="shared" si="2"/>
        <v>206697</v>
      </c>
      <c r="J17" s="26">
        <f t="shared" si="2"/>
        <v>223346</v>
      </c>
      <c r="K17" s="29">
        <f t="shared" si="2"/>
        <v>278692</v>
      </c>
      <c r="L17" s="27">
        <f t="shared" si="2"/>
        <v>211613</v>
      </c>
      <c r="M17" s="27">
        <f t="shared" si="2"/>
        <v>112156</v>
      </c>
      <c r="N17" s="27">
        <f t="shared" si="2"/>
        <v>133392</v>
      </c>
      <c r="O17" s="5">
        <f t="shared" si="2"/>
        <v>88592</v>
      </c>
      <c r="P17" s="5">
        <f t="shared" si="2"/>
        <v>112843</v>
      </c>
    </row>
    <row r="18" spans="2:16" ht="11.25">
      <c r="B18" s="25" t="s">
        <v>19</v>
      </c>
      <c r="C18" s="26">
        <v>0</v>
      </c>
      <c r="D18" s="26">
        <v>0</v>
      </c>
      <c r="E18" s="27">
        <v>0</v>
      </c>
      <c r="F18" s="28">
        <v>0</v>
      </c>
      <c r="G18" s="26">
        <v>0</v>
      </c>
      <c r="H18" s="26">
        <v>0</v>
      </c>
      <c r="I18" s="26">
        <v>0</v>
      </c>
      <c r="J18" s="26">
        <v>0</v>
      </c>
      <c r="K18" s="29">
        <v>0</v>
      </c>
      <c r="L18" s="27">
        <v>0</v>
      </c>
      <c r="M18" s="27">
        <v>0</v>
      </c>
      <c r="N18" s="27">
        <v>0</v>
      </c>
      <c r="O18" s="5">
        <v>0</v>
      </c>
      <c r="P18" s="5">
        <v>0</v>
      </c>
    </row>
    <row r="19" spans="2:16" ht="11.25">
      <c r="B19" s="25" t="s">
        <v>20</v>
      </c>
      <c r="C19" s="26">
        <v>110687</v>
      </c>
      <c r="D19" s="26">
        <v>106889</v>
      </c>
      <c r="E19" s="27">
        <v>92049</v>
      </c>
      <c r="F19" s="28">
        <f>21551+56988</f>
        <v>78539</v>
      </c>
      <c r="G19" s="26">
        <f>22900+60308</f>
        <v>83208</v>
      </c>
      <c r="H19" s="26">
        <v>89261</v>
      </c>
      <c r="I19" s="26">
        <v>63488</v>
      </c>
      <c r="J19" s="26">
        <v>62618</v>
      </c>
      <c r="K19" s="29">
        <v>67094</v>
      </c>
      <c r="L19" s="27">
        <v>91451</v>
      </c>
      <c r="M19" s="27">
        <v>56691</v>
      </c>
      <c r="N19" s="27">
        <v>53097</v>
      </c>
      <c r="O19" s="5">
        <v>42773</v>
      </c>
      <c r="P19" s="5">
        <v>33814</v>
      </c>
    </row>
    <row r="20" spans="2:16" ht="11.25">
      <c r="B20" s="25" t="s">
        <v>21</v>
      </c>
      <c r="C20" s="26">
        <v>132671</v>
      </c>
      <c r="D20" s="26">
        <v>117518</v>
      </c>
      <c r="E20" s="27">
        <v>143402</v>
      </c>
      <c r="F20" s="28">
        <f>271+128847</f>
        <v>129118</v>
      </c>
      <c r="G20" s="26">
        <f>176+147559</f>
        <v>147735</v>
      </c>
      <c r="H20" s="26">
        <v>106192</v>
      </c>
      <c r="I20" s="26">
        <v>143209</v>
      </c>
      <c r="J20" s="26">
        <v>160728</v>
      </c>
      <c r="K20" s="29">
        <v>211598</v>
      </c>
      <c r="L20" s="27">
        <v>120162</v>
      </c>
      <c r="M20" s="27">
        <v>55465</v>
      </c>
      <c r="N20" s="27">
        <v>80295</v>
      </c>
      <c r="O20" s="5">
        <v>45819</v>
      </c>
      <c r="P20" s="5">
        <v>79029</v>
      </c>
    </row>
    <row r="21" spans="2:16" ht="11.25">
      <c r="B21" s="25" t="s">
        <v>16</v>
      </c>
      <c r="C21" s="27">
        <f>SUM(C22:C24)</f>
        <v>135448</v>
      </c>
      <c r="D21" s="27">
        <f aca="true" t="shared" si="3" ref="D21:P21">SUM(D23:D24)</f>
        <v>148715</v>
      </c>
      <c r="E21" s="27">
        <f t="shared" si="3"/>
        <v>152544</v>
      </c>
      <c r="F21" s="28">
        <f t="shared" si="3"/>
        <v>148519</v>
      </c>
      <c r="G21" s="26">
        <f t="shared" si="3"/>
        <v>171634</v>
      </c>
      <c r="H21" s="26">
        <f t="shared" si="3"/>
        <v>152736</v>
      </c>
      <c r="I21" s="26">
        <f t="shared" si="3"/>
        <v>142651</v>
      </c>
      <c r="J21" s="26">
        <f t="shared" si="3"/>
        <v>186578</v>
      </c>
      <c r="K21" s="29">
        <f t="shared" si="3"/>
        <v>150181</v>
      </c>
      <c r="L21" s="27">
        <f t="shared" si="3"/>
        <v>80438</v>
      </c>
      <c r="M21" s="27">
        <f t="shared" si="3"/>
        <v>175724</v>
      </c>
      <c r="N21" s="27">
        <f t="shared" si="3"/>
        <v>156309</v>
      </c>
      <c r="O21" s="5">
        <f t="shared" si="3"/>
        <v>184485</v>
      </c>
      <c r="P21" s="5">
        <f t="shared" si="3"/>
        <v>166190</v>
      </c>
    </row>
    <row r="22" spans="2:16" ht="11.25">
      <c r="B22" s="25" t="s">
        <v>19</v>
      </c>
      <c r="C22" s="27">
        <v>0</v>
      </c>
      <c r="D22" s="27">
        <v>0</v>
      </c>
      <c r="E22" s="27">
        <v>0</v>
      </c>
      <c r="F22" s="28">
        <v>0</v>
      </c>
      <c r="G22" s="26">
        <v>0</v>
      </c>
      <c r="H22" s="26">
        <v>0</v>
      </c>
      <c r="I22" s="26">
        <v>0</v>
      </c>
      <c r="J22" s="26">
        <v>0</v>
      </c>
      <c r="K22" s="29">
        <v>0</v>
      </c>
      <c r="L22" s="27">
        <v>0</v>
      </c>
      <c r="M22" s="27">
        <v>0</v>
      </c>
      <c r="N22" s="27">
        <v>0</v>
      </c>
      <c r="O22" s="5"/>
      <c r="P22" s="5"/>
    </row>
    <row r="23" spans="2:16" ht="11.25">
      <c r="B23" s="25" t="s">
        <v>20</v>
      </c>
      <c r="C23" s="26">
        <v>8948</v>
      </c>
      <c r="D23" s="26">
        <v>8856</v>
      </c>
      <c r="E23" s="27">
        <v>152544</v>
      </c>
      <c r="F23" s="28">
        <f>4596+5203</f>
        <v>9799</v>
      </c>
      <c r="G23" s="26">
        <f>3292+5622</f>
        <v>8914</v>
      </c>
      <c r="H23" s="26">
        <v>7333</v>
      </c>
      <c r="I23" s="26">
        <v>9271</v>
      </c>
      <c r="J23" s="26">
        <v>14538</v>
      </c>
      <c r="K23" s="29">
        <v>12344</v>
      </c>
      <c r="L23" s="27">
        <v>10338</v>
      </c>
      <c r="M23" s="27">
        <v>11624</v>
      </c>
      <c r="N23" s="27">
        <v>9665</v>
      </c>
      <c r="O23" s="5">
        <v>8186</v>
      </c>
      <c r="P23" s="5">
        <v>22260</v>
      </c>
    </row>
    <row r="24" spans="2:16" ht="11.25">
      <c r="B24" s="25" t="s">
        <v>21</v>
      </c>
      <c r="C24" s="26">
        <v>126500</v>
      </c>
      <c r="D24" s="26">
        <v>139859</v>
      </c>
      <c r="E24" s="27">
        <v>0</v>
      </c>
      <c r="F24" s="28">
        <v>138720</v>
      </c>
      <c r="G24" s="26">
        <v>162720</v>
      </c>
      <c r="H24" s="26">
        <v>145403</v>
      </c>
      <c r="I24" s="26">
        <v>133380</v>
      </c>
      <c r="J24" s="26">
        <v>172040</v>
      </c>
      <c r="K24" s="29">
        <v>137837</v>
      </c>
      <c r="L24" s="27">
        <v>70100</v>
      </c>
      <c r="M24" s="27">
        <v>164100</v>
      </c>
      <c r="N24" s="27">
        <v>146644</v>
      </c>
      <c r="O24" s="5">
        <v>176299</v>
      </c>
      <c r="P24" s="5">
        <v>143930</v>
      </c>
    </row>
    <row r="25" spans="1:16" ht="11.25">
      <c r="A25" s="11" t="s">
        <v>22</v>
      </c>
      <c r="B25" s="11"/>
      <c r="C25" s="30">
        <v>37967</v>
      </c>
      <c r="D25" s="30">
        <v>36865</v>
      </c>
      <c r="E25" s="30">
        <v>34729</v>
      </c>
      <c r="F25" s="31">
        <v>33967</v>
      </c>
      <c r="G25" s="30">
        <v>31097</v>
      </c>
      <c r="H25" s="30">
        <v>29791</v>
      </c>
      <c r="I25" s="30">
        <v>27540</v>
      </c>
      <c r="J25" s="30">
        <v>25873</v>
      </c>
      <c r="K25" s="32">
        <v>24580</v>
      </c>
      <c r="L25" s="30">
        <v>23598</v>
      </c>
      <c r="M25" s="30">
        <v>22111</v>
      </c>
      <c r="N25" s="32">
        <v>21049</v>
      </c>
      <c r="O25" s="6">
        <v>19909</v>
      </c>
      <c r="P25" s="6">
        <v>17333</v>
      </c>
    </row>
    <row r="26" spans="1:16" ht="11.25">
      <c r="A26" s="19" t="s">
        <v>23</v>
      </c>
      <c r="E26" s="27"/>
      <c r="F26" s="33"/>
      <c r="H26" s="26"/>
      <c r="J26" s="26"/>
      <c r="K26" s="29"/>
      <c r="L26" s="27"/>
      <c r="M26" s="27"/>
      <c r="N26" s="27"/>
      <c r="O26" s="5"/>
      <c r="P26" s="5"/>
    </row>
    <row r="27" spans="1:16" ht="11.25">
      <c r="A27" s="25" t="s">
        <v>12</v>
      </c>
      <c r="C27" s="27">
        <f aca="true" t="shared" si="4" ref="C27:J27">(C10+G10)/2</f>
        <v>433770.5</v>
      </c>
      <c r="D27" s="27">
        <f t="shared" si="4"/>
        <v>404395.5</v>
      </c>
      <c r="E27" s="27">
        <f t="shared" si="4"/>
        <v>407663</v>
      </c>
      <c r="F27" s="28">
        <f t="shared" si="4"/>
        <v>420625.5</v>
      </c>
      <c r="G27" s="26">
        <f t="shared" si="4"/>
        <v>452932.5</v>
      </c>
      <c r="H27" s="26">
        <f t="shared" si="4"/>
        <v>353832.5</v>
      </c>
      <c r="I27" s="26">
        <f t="shared" si="4"/>
        <v>350248</v>
      </c>
      <c r="J27" s="26">
        <f t="shared" si="4"/>
        <v>381543.5</v>
      </c>
      <c r="K27" s="29">
        <f>(K10+298994)/2</f>
        <v>381492</v>
      </c>
      <c r="L27" s="27">
        <f>(L10+262329)/2</f>
        <v>292701</v>
      </c>
      <c r="M27" s="27">
        <f>(M10+279670)/2</f>
        <v>297613</v>
      </c>
      <c r="N27" s="27">
        <f>(N10+260469)/2</f>
        <v>289288</v>
      </c>
      <c r="O27" s="5">
        <f>(O10+P10)/2</f>
        <v>300393.5</v>
      </c>
      <c r="P27" s="5">
        <f>(P10+273644)/2</f>
        <v>287718.5</v>
      </c>
    </row>
    <row r="28" spans="1:16" ht="11.25">
      <c r="A28" s="25" t="s">
        <v>24</v>
      </c>
      <c r="C28" s="27">
        <f aca="true" t="shared" si="5" ref="C28:P28">C29+C30</f>
        <v>375621.5</v>
      </c>
      <c r="D28" s="27">
        <f t="shared" si="5"/>
        <v>361735.5</v>
      </c>
      <c r="E28" s="27">
        <f t="shared" si="5"/>
        <v>377338.5</v>
      </c>
      <c r="F28" s="28">
        <f t="shared" si="5"/>
        <v>345421</v>
      </c>
      <c r="G28" s="26">
        <f t="shared" si="5"/>
        <v>336550.5</v>
      </c>
      <c r="H28" s="26">
        <f t="shared" si="5"/>
        <v>303419</v>
      </c>
      <c r="I28" s="26">
        <f t="shared" si="5"/>
        <v>309344</v>
      </c>
      <c r="J28" s="26">
        <f t="shared" si="5"/>
        <v>272991</v>
      </c>
      <c r="K28" s="29">
        <f t="shared" si="5"/>
        <v>262550</v>
      </c>
      <c r="L28" s="27">
        <f t="shared" si="5"/>
        <v>228949</v>
      </c>
      <c r="M28" s="27">
        <f t="shared" si="5"/>
        <v>229187.5</v>
      </c>
      <c r="N28" s="27">
        <f t="shared" si="5"/>
        <v>208650</v>
      </c>
      <c r="O28" s="5">
        <f t="shared" si="5"/>
        <v>220385</v>
      </c>
      <c r="P28" s="5">
        <f t="shared" si="5"/>
        <v>205227.5</v>
      </c>
    </row>
    <row r="29" spans="2:16" ht="11.25">
      <c r="B29" s="25" t="s">
        <v>14</v>
      </c>
      <c r="C29" s="27">
        <f aca="true" t="shared" si="6" ref="C29:K29">(C12+G12)/2</f>
        <v>324260.5</v>
      </c>
      <c r="D29" s="27">
        <f t="shared" si="6"/>
        <v>308975.5</v>
      </c>
      <c r="E29" s="27">
        <f t="shared" si="6"/>
        <v>320895.5</v>
      </c>
      <c r="F29" s="28">
        <f t="shared" si="6"/>
        <v>290914</v>
      </c>
      <c r="G29" s="26">
        <f t="shared" si="6"/>
        <v>294000</v>
      </c>
      <c r="H29" s="26">
        <f t="shared" si="6"/>
        <v>271931.5</v>
      </c>
      <c r="I29" s="26">
        <f t="shared" si="6"/>
        <v>275977.5</v>
      </c>
      <c r="J29" s="26">
        <f t="shared" si="6"/>
        <v>244837</v>
      </c>
      <c r="K29" s="29">
        <f t="shared" si="6"/>
        <v>247327.5</v>
      </c>
      <c r="L29" s="27">
        <f>(L12+191413)/2</f>
        <v>224449</v>
      </c>
      <c r="M29" s="27">
        <f>(M12+191345)/2</f>
        <v>224805</v>
      </c>
      <c r="N29" s="27">
        <f>(N12+189897)/2</f>
        <v>207668</v>
      </c>
      <c r="O29" s="5">
        <f>(O12+P12)/2</f>
        <v>219402.5</v>
      </c>
      <c r="P29" s="5">
        <f>(P12+197947)/2</f>
        <v>205227.5</v>
      </c>
    </row>
    <row r="30" spans="2:16" ht="11.25">
      <c r="B30" s="25" t="s">
        <v>17</v>
      </c>
      <c r="C30" s="27">
        <f aca="true" t="shared" si="7" ref="C30:K30">(C15+G15)/2</f>
        <v>51361</v>
      </c>
      <c r="D30" s="27">
        <f t="shared" si="7"/>
        <v>52760</v>
      </c>
      <c r="E30" s="27">
        <f t="shared" si="7"/>
        <v>56443</v>
      </c>
      <c r="F30" s="28">
        <f t="shared" si="7"/>
        <v>54507</v>
      </c>
      <c r="G30" s="26">
        <f t="shared" si="7"/>
        <v>42550.5</v>
      </c>
      <c r="H30" s="26">
        <f t="shared" si="7"/>
        <v>31487.5</v>
      </c>
      <c r="I30" s="26">
        <f t="shared" si="7"/>
        <v>33366.5</v>
      </c>
      <c r="J30" s="26">
        <f t="shared" si="7"/>
        <v>28154</v>
      </c>
      <c r="K30" s="29">
        <f t="shared" si="7"/>
        <v>15222.5</v>
      </c>
      <c r="L30" s="27">
        <f>(L15+0)/2</f>
        <v>4500</v>
      </c>
      <c r="M30" s="27">
        <f>(M15+0)/2</f>
        <v>4382.5</v>
      </c>
      <c r="N30" s="27">
        <f>(N15+0)/2</f>
        <v>982</v>
      </c>
      <c r="O30" s="5">
        <f>(O15+P15)/2</f>
        <v>982.5</v>
      </c>
      <c r="P30" s="5">
        <v>0</v>
      </c>
    </row>
    <row r="31" spans="1:16" ht="11.25">
      <c r="A31" s="11" t="s">
        <v>22</v>
      </c>
      <c r="B31" s="11"/>
      <c r="C31" s="30">
        <f aca="true" t="shared" si="8" ref="C31:K31">(C25+G25)/2</f>
        <v>34532</v>
      </c>
      <c r="D31" s="30">
        <f t="shared" si="8"/>
        <v>33328</v>
      </c>
      <c r="E31" s="30">
        <f t="shared" si="8"/>
        <v>31134.5</v>
      </c>
      <c r="F31" s="31">
        <f t="shared" si="8"/>
        <v>29920</v>
      </c>
      <c r="G31" s="30">
        <f t="shared" si="8"/>
        <v>27838.5</v>
      </c>
      <c r="H31" s="30">
        <f t="shared" si="8"/>
        <v>26694.5</v>
      </c>
      <c r="I31" s="30">
        <f t="shared" si="8"/>
        <v>24825.5</v>
      </c>
      <c r="J31" s="30">
        <f t="shared" si="8"/>
        <v>23461</v>
      </c>
      <c r="K31" s="32">
        <f t="shared" si="8"/>
        <v>22244.5</v>
      </c>
      <c r="L31" s="30">
        <f>(L25+20039)/2</f>
        <v>21818.5</v>
      </c>
      <c r="M31" s="30">
        <f>(M25+18942)/2</f>
        <v>20526.5</v>
      </c>
      <c r="N31" s="30">
        <f>(N25+17872)/2</f>
        <v>19460.5</v>
      </c>
      <c r="O31" s="6">
        <f>(O25+P25)/2</f>
        <v>18621</v>
      </c>
      <c r="P31" s="6">
        <f>(P25+14688)/2</f>
        <v>16010.5</v>
      </c>
    </row>
    <row r="32" spans="1:16" ht="11.25">
      <c r="A32" s="19" t="s">
        <v>25</v>
      </c>
      <c r="E32" s="27"/>
      <c r="F32" s="33"/>
      <c r="H32" s="26"/>
      <c r="J32" s="26"/>
      <c r="K32" s="34"/>
      <c r="L32" s="12"/>
      <c r="M32" s="12"/>
      <c r="N32" s="12"/>
      <c r="O32" s="4"/>
      <c r="P32" s="4"/>
    </row>
    <row r="33" spans="1:16" ht="11.25">
      <c r="A33" s="25" t="s">
        <v>26</v>
      </c>
      <c r="C33" s="26">
        <v>21212</v>
      </c>
      <c r="D33" s="26">
        <v>16110</v>
      </c>
      <c r="E33" s="27">
        <v>10881</v>
      </c>
      <c r="F33" s="35">
        <v>5540</v>
      </c>
      <c r="G33" s="36">
        <v>26714</v>
      </c>
      <c r="H33" s="26">
        <f>I33+6312</f>
        <v>21115</v>
      </c>
      <c r="I33" s="26">
        <f>J33+7176</f>
        <v>14803</v>
      </c>
      <c r="J33" s="26">
        <v>7627</v>
      </c>
      <c r="K33" s="29">
        <f>7847+L33</f>
        <v>26600</v>
      </c>
      <c r="L33" s="27">
        <f>6642+M33</f>
        <v>18753</v>
      </c>
      <c r="M33" s="27">
        <f>6295+N33</f>
        <v>12111</v>
      </c>
      <c r="N33" s="27">
        <v>5816</v>
      </c>
      <c r="O33" s="5">
        <v>17931</v>
      </c>
      <c r="P33" s="5">
        <v>5150</v>
      </c>
    </row>
    <row r="34" spans="1:16" ht="11.25">
      <c r="A34" s="25" t="s">
        <v>27</v>
      </c>
      <c r="C34" s="26">
        <v>7033</v>
      </c>
      <c r="D34" s="26">
        <v>5502</v>
      </c>
      <c r="E34" s="27">
        <v>3670</v>
      </c>
      <c r="F34" s="35">
        <v>1869</v>
      </c>
      <c r="G34" s="36">
        <v>14541</v>
      </c>
      <c r="H34" s="26">
        <f>I34+3188</f>
        <v>12419</v>
      </c>
      <c r="I34" s="26">
        <f>J34+4277</f>
        <v>9231</v>
      </c>
      <c r="J34" s="26">
        <v>4954</v>
      </c>
      <c r="K34" s="29">
        <f>5445+L34</f>
        <v>18456</v>
      </c>
      <c r="L34" s="27">
        <f>4531+M34</f>
        <v>13011</v>
      </c>
      <c r="M34" s="27">
        <f>4468+N34</f>
        <v>8480</v>
      </c>
      <c r="N34" s="27">
        <v>4012</v>
      </c>
      <c r="O34" s="5">
        <v>12837</v>
      </c>
      <c r="P34" s="5">
        <v>3516</v>
      </c>
    </row>
    <row r="35" spans="1:16" ht="11.25">
      <c r="A35" s="25" t="s">
        <v>28</v>
      </c>
      <c r="C35" s="27">
        <f aca="true" t="shared" si="9" ref="C35:P35">C33-C34</f>
        <v>14179</v>
      </c>
      <c r="D35" s="27">
        <f t="shared" si="9"/>
        <v>10608</v>
      </c>
      <c r="E35" s="27">
        <f t="shared" si="9"/>
        <v>7211</v>
      </c>
      <c r="F35" s="28">
        <f t="shared" si="9"/>
        <v>3671</v>
      </c>
      <c r="G35" s="26">
        <f t="shared" si="9"/>
        <v>12173</v>
      </c>
      <c r="H35" s="26">
        <f t="shared" si="9"/>
        <v>8696</v>
      </c>
      <c r="I35" s="26">
        <f t="shared" si="9"/>
        <v>5572</v>
      </c>
      <c r="J35" s="26">
        <f t="shared" si="9"/>
        <v>2673</v>
      </c>
      <c r="K35" s="29">
        <f t="shared" si="9"/>
        <v>8144</v>
      </c>
      <c r="L35" s="27">
        <f t="shared" si="9"/>
        <v>5742</v>
      </c>
      <c r="M35" s="27">
        <f t="shared" si="9"/>
        <v>3631</v>
      </c>
      <c r="N35" s="27">
        <f t="shared" si="9"/>
        <v>1804</v>
      </c>
      <c r="O35" s="5">
        <f t="shared" si="9"/>
        <v>5094</v>
      </c>
      <c r="P35" s="5">
        <f t="shared" si="9"/>
        <v>1634</v>
      </c>
    </row>
    <row r="36" spans="1:16" ht="11.25">
      <c r="A36" s="25" t="s">
        <v>29</v>
      </c>
      <c r="C36" s="26">
        <v>2891</v>
      </c>
      <c r="D36" s="26">
        <v>2231</v>
      </c>
      <c r="E36" s="27">
        <v>1139</v>
      </c>
      <c r="F36" s="35">
        <v>572</v>
      </c>
      <c r="G36" s="36">
        <v>2658</v>
      </c>
      <c r="H36" s="26">
        <f>I36+894</f>
        <v>1942</v>
      </c>
      <c r="I36" s="26">
        <f>J36+460</f>
        <v>1048</v>
      </c>
      <c r="J36" s="26">
        <v>588</v>
      </c>
      <c r="K36" s="29">
        <f>600+L36</f>
        <v>2486</v>
      </c>
      <c r="L36" s="27">
        <f>989+M36</f>
        <v>1886</v>
      </c>
      <c r="M36" s="27">
        <f>459+N36</f>
        <v>897</v>
      </c>
      <c r="N36" s="27">
        <v>438</v>
      </c>
      <c r="O36" s="5">
        <v>1371</v>
      </c>
      <c r="P36" s="5">
        <v>224</v>
      </c>
    </row>
    <row r="37" spans="1:16" ht="11.25">
      <c r="A37" s="25" t="s">
        <v>30</v>
      </c>
      <c r="C37" s="27">
        <f aca="true" t="shared" si="10" ref="C37:P37">C35+C36</f>
        <v>17070</v>
      </c>
      <c r="D37" s="27">
        <f t="shared" si="10"/>
        <v>12839</v>
      </c>
      <c r="E37" s="27">
        <f t="shared" si="10"/>
        <v>8350</v>
      </c>
      <c r="F37" s="28">
        <f t="shared" si="10"/>
        <v>4243</v>
      </c>
      <c r="G37" s="26">
        <f t="shared" si="10"/>
        <v>14831</v>
      </c>
      <c r="H37" s="26">
        <f t="shared" si="10"/>
        <v>10638</v>
      </c>
      <c r="I37" s="26">
        <f t="shared" si="10"/>
        <v>6620</v>
      </c>
      <c r="J37" s="26">
        <f t="shared" si="10"/>
        <v>3261</v>
      </c>
      <c r="K37" s="29">
        <f t="shared" si="10"/>
        <v>10630</v>
      </c>
      <c r="L37" s="27">
        <f t="shared" si="10"/>
        <v>7628</v>
      </c>
      <c r="M37" s="27">
        <f t="shared" si="10"/>
        <v>4528</v>
      </c>
      <c r="N37" s="27">
        <f t="shared" si="10"/>
        <v>2242</v>
      </c>
      <c r="O37" s="5">
        <f t="shared" si="10"/>
        <v>6465</v>
      </c>
      <c r="P37" s="5">
        <f t="shared" si="10"/>
        <v>1858</v>
      </c>
    </row>
    <row r="38" spans="1:16" ht="11.25">
      <c r="A38" s="25" t="s">
        <v>31</v>
      </c>
      <c r="C38" s="26">
        <v>10124</v>
      </c>
      <c r="D38" s="26">
        <v>7014</v>
      </c>
      <c r="E38" s="27">
        <v>4701</v>
      </c>
      <c r="F38" s="35">
        <v>1345</v>
      </c>
      <c r="G38" s="36">
        <v>8341</v>
      </c>
      <c r="H38" s="26">
        <f>I38+1767</f>
        <v>5427</v>
      </c>
      <c r="I38" s="26">
        <f>J38+1692</f>
        <v>3660</v>
      </c>
      <c r="J38" s="26">
        <v>1968</v>
      </c>
      <c r="K38" s="29">
        <f>2001+L38</f>
        <v>5835</v>
      </c>
      <c r="L38" s="27">
        <f>1616+M38</f>
        <v>3834</v>
      </c>
      <c r="M38" s="27">
        <f>1219+N38</f>
        <v>2218</v>
      </c>
      <c r="N38" s="27">
        <v>999</v>
      </c>
      <c r="O38" s="5">
        <v>4669</v>
      </c>
      <c r="P38" s="5">
        <v>788</v>
      </c>
    </row>
    <row r="39" spans="1:16" ht="11.25">
      <c r="A39" s="25" t="s">
        <v>32</v>
      </c>
      <c r="C39" s="27">
        <f aca="true" t="shared" si="11" ref="C39:P39">C37-C38</f>
        <v>6946</v>
      </c>
      <c r="D39" s="27">
        <f t="shared" si="11"/>
        <v>5825</v>
      </c>
      <c r="E39" s="27">
        <f t="shared" si="11"/>
        <v>3649</v>
      </c>
      <c r="F39" s="28">
        <f t="shared" si="11"/>
        <v>2898</v>
      </c>
      <c r="G39" s="26">
        <f t="shared" si="11"/>
        <v>6490</v>
      </c>
      <c r="H39" s="26">
        <f t="shared" si="11"/>
        <v>5211</v>
      </c>
      <c r="I39" s="26">
        <f t="shared" si="11"/>
        <v>2960</v>
      </c>
      <c r="J39" s="26">
        <f t="shared" si="11"/>
        <v>1293</v>
      </c>
      <c r="K39" s="29">
        <f t="shared" si="11"/>
        <v>4795</v>
      </c>
      <c r="L39" s="27">
        <f t="shared" si="11"/>
        <v>3794</v>
      </c>
      <c r="M39" s="27">
        <f t="shared" si="11"/>
        <v>2310</v>
      </c>
      <c r="N39" s="27">
        <f t="shared" si="11"/>
        <v>1243</v>
      </c>
      <c r="O39" s="5">
        <f t="shared" si="11"/>
        <v>1796</v>
      </c>
      <c r="P39" s="5">
        <f t="shared" si="11"/>
        <v>1070</v>
      </c>
    </row>
    <row r="40" spans="1:16" ht="11.25">
      <c r="A40" s="11" t="s">
        <v>33</v>
      </c>
      <c r="B40" s="11"/>
      <c r="C40" s="30">
        <v>6898</v>
      </c>
      <c r="D40" s="30">
        <v>5795</v>
      </c>
      <c r="E40" s="30">
        <v>3649</v>
      </c>
      <c r="F40" s="37">
        <v>2898</v>
      </c>
      <c r="G40" s="38">
        <v>6490</v>
      </c>
      <c r="H40" s="30">
        <f>I40+2251</f>
        <v>5211</v>
      </c>
      <c r="I40" s="30">
        <f>J40+1667</f>
        <v>2960</v>
      </c>
      <c r="J40" s="30">
        <v>1293</v>
      </c>
      <c r="K40" s="32">
        <f>981+L40</f>
        <v>4775</v>
      </c>
      <c r="L40" s="30">
        <f>1484+M40</f>
        <v>3794</v>
      </c>
      <c r="M40" s="30">
        <f>1067+N40</f>
        <v>2310</v>
      </c>
      <c r="N40" s="30">
        <v>1243</v>
      </c>
      <c r="O40" s="6">
        <v>1793</v>
      </c>
      <c r="P40" s="6">
        <v>1067</v>
      </c>
    </row>
    <row r="41" spans="1:16" ht="11.25">
      <c r="A41" s="19" t="s">
        <v>34</v>
      </c>
      <c r="E41" s="27"/>
      <c r="F41" s="33"/>
      <c r="H41" s="26"/>
      <c r="I41" s="26"/>
      <c r="K41" s="29"/>
      <c r="L41" s="27"/>
      <c r="M41" s="27"/>
      <c r="N41" s="27"/>
      <c r="O41" s="5"/>
      <c r="P41" s="5"/>
    </row>
    <row r="42" spans="1:16" ht="11.25">
      <c r="A42" s="25" t="s">
        <v>35</v>
      </c>
      <c r="C42" s="26">
        <v>154</v>
      </c>
      <c r="D42" s="26">
        <v>279</v>
      </c>
      <c r="E42" s="27">
        <v>529</v>
      </c>
      <c r="F42" s="28">
        <v>381</v>
      </c>
      <c r="G42" s="26">
        <v>930</v>
      </c>
      <c r="H42" s="26">
        <v>707</v>
      </c>
      <c r="I42" s="26">
        <v>715</v>
      </c>
      <c r="J42" s="26">
        <v>4</v>
      </c>
      <c r="K42" s="29">
        <v>0</v>
      </c>
      <c r="L42" s="27">
        <v>0</v>
      </c>
      <c r="M42" s="27">
        <v>0</v>
      </c>
      <c r="N42" s="27">
        <v>0</v>
      </c>
      <c r="O42" s="5">
        <v>78</v>
      </c>
      <c r="P42" s="5">
        <v>6</v>
      </c>
    </row>
    <row r="43" spans="1:16" ht="11.25">
      <c r="A43" s="25" t="s">
        <v>36</v>
      </c>
      <c r="C43" s="26">
        <v>1</v>
      </c>
      <c r="D43" s="26">
        <v>7</v>
      </c>
      <c r="E43" s="27">
        <v>188</v>
      </c>
      <c r="F43" s="28">
        <v>187</v>
      </c>
      <c r="G43" s="26">
        <v>187</v>
      </c>
      <c r="H43" s="26">
        <v>187</v>
      </c>
      <c r="I43" s="26">
        <v>187</v>
      </c>
      <c r="J43" s="26">
        <v>187</v>
      </c>
      <c r="K43" s="29">
        <v>187</v>
      </c>
      <c r="L43" s="27">
        <v>239</v>
      </c>
      <c r="M43" s="27">
        <v>239</v>
      </c>
      <c r="N43" s="27">
        <v>239</v>
      </c>
      <c r="O43" s="5">
        <v>239</v>
      </c>
      <c r="P43" s="5">
        <v>239</v>
      </c>
    </row>
    <row r="44" spans="1:16" ht="11.25">
      <c r="A44" s="25" t="s">
        <v>37</v>
      </c>
      <c r="C44" s="39">
        <f aca="true" t="shared" si="12" ref="C44:P44">C42/C12</f>
        <v>0.00046825732260192957</v>
      </c>
      <c r="D44" s="39">
        <f t="shared" si="12"/>
        <v>0.0008414436639895287</v>
      </c>
      <c r="E44" s="39">
        <f t="shared" si="12"/>
        <v>0.001519673887750969</v>
      </c>
      <c r="F44" s="40">
        <f t="shared" si="12"/>
        <v>0.001199648606864761</v>
      </c>
      <c r="G44" s="41">
        <f t="shared" si="12"/>
        <v>0.002909505008728515</v>
      </c>
      <c r="H44" s="41">
        <f t="shared" si="12"/>
        <v>0.002468765058768481</v>
      </c>
      <c r="I44" s="41">
        <f t="shared" si="12"/>
        <v>0.002434539820899588</v>
      </c>
      <c r="J44" s="41">
        <f t="shared" si="12"/>
        <v>1.5138040002270706E-05</v>
      </c>
      <c r="K44" s="42">
        <f t="shared" si="12"/>
        <v>0</v>
      </c>
      <c r="L44" s="39">
        <f t="shared" si="12"/>
        <v>0</v>
      </c>
      <c r="M44" s="39">
        <f t="shared" si="12"/>
        <v>0</v>
      </c>
      <c r="N44" s="39">
        <f t="shared" si="12"/>
        <v>0</v>
      </c>
      <c r="O44" s="7">
        <f t="shared" si="12"/>
        <v>0.00034467977922818244</v>
      </c>
      <c r="P44" s="7">
        <f t="shared" si="12"/>
        <v>2.8234231181884916E-05</v>
      </c>
    </row>
    <row r="45" spans="1:16" ht="11.25">
      <c r="A45" s="25" t="s">
        <v>38</v>
      </c>
      <c r="C45" s="39">
        <f aca="true" t="shared" si="13" ref="C45:J45">C43/C42</f>
        <v>0.006493506493506494</v>
      </c>
      <c r="D45" s="39">
        <f t="shared" si="13"/>
        <v>0.025089605734767026</v>
      </c>
      <c r="E45" s="39">
        <f t="shared" si="13"/>
        <v>0.3553875236294896</v>
      </c>
      <c r="F45" s="40">
        <f t="shared" si="13"/>
        <v>0.49081364829396323</v>
      </c>
      <c r="G45" s="41">
        <f t="shared" si="13"/>
        <v>0.2010752688172043</v>
      </c>
      <c r="H45" s="41">
        <f t="shared" si="13"/>
        <v>0.26449787835926447</v>
      </c>
      <c r="I45" s="41">
        <f t="shared" si="13"/>
        <v>0.26153846153846155</v>
      </c>
      <c r="J45" s="41">
        <f t="shared" si="13"/>
        <v>46.75</v>
      </c>
      <c r="K45" s="42">
        <v>0</v>
      </c>
      <c r="L45" s="39">
        <v>0</v>
      </c>
      <c r="M45" s="39">
        <v>0</v>
      </c>
      <c r="N45" s="39">
        <v>0</v>
      </c>
      <c r="O45" s="7">
        <f>O43/O42</f>
        <v>3.0641025641025643</v>
      </c>
      <c r="P45" s="7">
        <f>P43/P42</f>
        <v>39.833333333333336</v>
      </c>
    </row>
    <row r="46" spans="1:16" ht="11.25">
      <c r="A46" s="11" t="s">
        <v>39</v>
      </c>
      <c r="B46" s="11"/>
      <c r="C46" s="43">
        <f aca="true" t="shared" si="14" ref="C46:P46">C43/C12</f>
        <v>3.040631964947595E-06</v>
      </c>
      <c r="D46" s="43">
        <f t="shared" si="14"/>
        <v>2.111148977751506E-05</v>
      </c>
      <c r="E46" s="43">
        <f t="shared" si="14"/>
        <v>0.0005400731396922158</v>
      </c>
      <c r="F46" s="44">
        <f t="shared" si="14"/>
        <v>0.0005888039094060637</v>
      </c>
      <c r="G46" s="43">
        <f t="shared" si="14"/>
        <v>0.0005850295017550885</v>
      </c>
      <c r="H46" s="43">
        <f t="shared" si="14"/>
        <v>0.0006529831202117481</v>
      </c>
      <c r="I46" s="43">
        <f t="shared" si="14"/>
        <v>0.0006367257993122</v>
      </c>
      <c r="J46" s="43">
        <f t="shared" si="14"/>
        <v>0.0007077033701061555</v>
      </c>
      <c r="K46" s="45">
        <f t="shared" si="14"/>
        <v>0.0006968303534830338</v>
      </c>
      <c r="L46" s="43">
        <f t="shared" si="14"/>
        <v>0.0009282094102569081</v>
      </c>
      <c r="M46" s="43">
        <f t="shared" si="14"/>
        <v>0.0009254060751553636</v>
      </c>
      <c r="N46" s="43">
        <f t="shared" si="14"/>
        <v>0.001060153744471897</v>
      </c>
      <c r="O46" s="8">
        <f t="shared" si="14"/>
        <v>0.0010561341953273795</v>
      </c>
      <c r="P46" s="8">
        <f t="shared" si="14"/>
        <v>0.001124663542078416</v>
      </c>
    </row>
    <row r="47" spans="1:16" ht="11.25">
      <c r="A47" s="19" t="s">
        <v>40</v>
      </c>
      <c r="E47" s="12"/>
      <c r="F47" s="33"/>
      <c r="K47" s="34"/>
      <c r="L47" s="12"/>
      <c r="M47" s="12"/>
      <c r="N47" s="12"/>
      <c r="O47" s="4"/>
      <c r="P47" s="4"/>
    </row>
    <row r="48" spans="1:16" ht="11.25">
      <c r="A48" s="25" t="s">
        <v>41</v>
      </c>
      <c r="C48" s="39">
        <f aca="true" t="shared" si="15" ref="C48:P48">C25/(C12+C15)</f>
        <v>0.10125073337244653</v>
      </c>
      <c r="D48" s="39">
        <f t="shared" si="15"/>
        <v>0.09622361778877526</v>
      </c>
      <c r="E48" s="39">
        <f t="shared" si="15"/>
        <v>0.08617211595483092</v>
      </c>
      <c r="F48" s="40">
        <f t="shared" si="15"/>
        <v>0.09124463081208715</v>
      </c>
      <c r="G48" s="41">
        <f t="shared" si="15"/>
        <v>0.08264697831038396</v>
      </c>
      <c r="H48" s="41">
        <f t="shared" si="15"/>
        <v>0.08752971179922023</v>
      </c>
      <c r="I48" s="41">
        <f t="shared" si="15"/>
        <v>0.0783147262396988</v>
      </c>
      <c r="J48" s="41">
        <f t="shared" si="15"/>
        <v>0.08121376487464647</v>
      </c>
      <c r="K48" s="42">
        <f t="shared" si="15"/>
        <v>0.08280610972988633</v>
      </c>
      <c r="L48" s="39">
        <f t="shared" si="15"/>
        <v>0.0885528266131302</v>
      </c>
      <c r="M48" s="39">
        <f t="shared" si="15"/>
        <v>0.08280343032618058</v>
      </c>
      <c r="N48" s="39">
        <f t="shared" si="15"/>
        <v>0.09256254315026627</v>
      </c>
      <c r="O48" s="7">
        <f t="shared" si="15"/>
        <v>0.08721994900596683</v>
      </c>
      <c r="P48" s="7">
        <f t="shared" si="15"/>
        <v>0.08156398817926855</v>
      </c>
    </row>
    <row r="49" spans="1:16" ht="11.25">
      <c r="A49" s="11" t="s">
        <v>42</v>
      </c>
      <c r="B49" s="11"/>
      <c r="C49" s="43">
        <f>C25/C10</f>
        <v>0.089194344861934</v>
      </c>
      <c r="D49" s="43">
        <f>D25/D10</f>
        <v>0.08690496677267037</v>
      </c>
      <c r="E49" s="43">
        <f>E25/E10</f>
        <v>0.08069268052399474</v>
      </c>
      <c r="F49" s="44">
        <f>F25/F12</f>
        <v>0.10695134968339982</v>
      </c>
      <c r="G49" s="43">
        <f>G25/G12</f>
        <v>0.0972869647918609</v>
      </c>
      <c r="H49" s="43">
        <f aca="true" t="shared" si="16" ref="H49:P49">H25/H10</f>
        <v>0.07746130964762657</v>
      </c>
      <c r="I49" s="43">
        <f t="shared" si="16"/>
        <v>0.0715436171870941</v>
      </c>
      <c r="J49" s="43">
        <f t="shared" si="16"/>
        <v>0.05814418625556205</v>
      </c>
      <c r="K49" s="45">
        <f t="shared" si="16"/>
        <v>0.052975279639647405</v>
      </c>
      <c r="L49" s="43">
        <f t="shared" si="16"/>
        <v>0.07304231551383124</v>
      </c>
      <c r="M49" s="43">
        <f t="shared" si="16"/>
        <v>0.07006997173243418</v>
      </c>
      <c r="N49" s="43">
        <f t="shared" si="16"/>
        <v>0.0661695592992295</v>
      </c>
      <c r="O49" s="8">
        <f t="shared" si="16"/>
        <v>0.06658662046730035</v>
      </c>
      <c r="P49" s="8">
        <f t="shared" si="16"/>
        <v>0.0574334063414327</v>
      </c>
    </row>
    <row r="50" spans="1:16" ht="11.25">
      <c r="A50" s="19" t="s">
        <v>43</v>
      </c>
      <c r="E50" s="12"/>
      <c r="F50" s="33"/>
      <c r="J50" s="46"/>
      <c r="K50" s="47"/>
      <c r="L50" s="48"/>
      <c r="M50" s="48"/>
      <c r="N50" s="48"/>
      <c r="O50" s="9"/>
      <c r="P50" s="9"/>
    </row>
    <row r="51" spans="1:16" ht="11.25">
      <c r="A51" s="25" t="s">
        <v>44</v>
      </c>
      <c r="C51" s="48">
        <f aca="true" t="shared" si="17" ref="C51:P51">C11/C16</f>
        <v>0.12292307935988342</v>
      </c>
      <c r="D51" s="48">
        <f t="shared" si="17"/>
        <v>0.09872374183243014</v>
      </c>
      <c r="E51" s="48">
        <f t="shared" si="17"/>
        <v>0.06209873838580394</v>
      </c>
      <c r="F51" s="49">
        <f t="shared" si="17"/>
        <v>0.05630081757333453</v>
      </c>
      <c r="G51" s="46">
        <f t="shared" si="17"/>
        <v>0.15086554870248425</v>
      </c>
      <c r="H51" s="46">
        <f t="shared" si="17"/>
        <v>0.1149691690432495</v>
      </c>
      <c r="I51" s="46">
        <f t="shared" si="17"/>
        <v>0.07809977443695112</v>
      </c>
      <c r="J51" s="46">
        <f t="shared" si="17"/>
        <v>0.29594510201891083</v>
      </c>
      <c r="K51" s="47">
        <f t="shared" si="17"/>
        <v>0.37762927486691866</v>
      </c>
      <c r="L51" s="48">
        <f t="shared" si="17"/>
        <v>0.1779415239119195</v>
      </c>
      <c r="M51" s="48">
        <f t="shared" si="17"/>
        <v>0.154668611921634</v>
      </c>
      <c r="N51" s="48">
        <f t="shared" si="17"/>
        <v>0.29503867780918946</v>
      </c>
      <c r="O51" s="9">
        <f t="shared" si="17"/>
        <v>0.2470328881597498</v>
      </c>
      <c r="P51" s="9">
        <f t="shared" si="17"/>
        <v>0.3068991839674877</v>
      </c>
    </row>
    <row r="52" spans="1:16" ht="11.25">
      <c r="A52" s="25" t="s">
        <v>45</v>
      </c>
      <c r="C52" s="48">
        <f aca="true" t="shared" si="18" ref="C52:P52">C11/C10</f>
        <v>0.10939093091766784</v>
      </c>
      <c r="D52" s="48">
        <f t="shared" si="18"/>
        <v>0.08683660263225515</v>
      </c>
      <c r="E52" s="48">
        <f t="shared" si="18"/>
        <v>0.055982304257108734</v>
      </c>
      <c r="F52" s="49">
        <f t="shared" si="18"/>
        <v>0.050604258197041924</v>
      </c>
      <c r="G52" s="46">
        <f t="shared" si="18"/>
        <v>0.13744837340876945</v>
      </c>
      <c r="H52" s="46">
        <f t="shared" si="18"/>
        <v>0.1040869284852519</v>
      </c>
      <c r="I52" s="46">
        <f t="shared" si="18"/>
        <v>0.07087857847976307</v>
      </c>
      <c r="J52" s="46">
        <f t="shared" si="18"/>
        <v>0.27263023057216057</v>
      </c>
      <c r="K52" s="47">
        <f t="shared" si="18"/>
        <v>0.3490484708722171</v>
      </c>
      <c r="L52" s="48">
        <f t="shared" si="18"/>
        <v>0.1608552865760989</v>
      </c>
      <c r="M52" s="48">
        <f t="shared" si="18"/>
        <v>0.14110332238968679</v>
      </c>
      <c r="N52" s="48">
        <f t="shared" si="18"/>
        <v>0.26869260971937114</v>
      </c>
      <c r="O52" s="9">
        <f t="shared" si="18"/>
        <v>0.22561991210525964</v>
      </c>
      <c r="P52" s="9">
        <f t="shared" si="18"/>
        <v>0.28375409635081</v>
      </c>
    </row>
    <row r="53" spans="1:16" ht="11.25">
      <c r="A53" s="11" t="s">
        <v>46</v>
      </c>
      <c r="B53" s="11"/>
      <c r="C53" s="50">
        <f aca="true" t="shared" si="19" ref="C53:P53">(C11+C15)/C16</f>
        <v>0.2446238971927583</v>
      </c>
      <c r="D53" s="50">
        <f t="shared" si="19"/>
        <v>0.23686890614865916</v>
      </c>
      <c r="E53" s="50">
        <f t="shared" si="19"/>
        <v>0.20364179950772562</v>
      </c>
      <c r="F53" s="51">
        <f t="shared" si="19"/>
        <v>0.2097923498495126</v>
      </c>
      <c r="G53" s="50">
        <f t="shared" si="19"/>
        <v>0.2915119343628672</v>
      </c>
      <c r="H53" s="50">
        <f t="shared" si="19"/>
        <v>0.26998555382278017</v>
      </c>
      <c r="I53" s="50">
        <f t="shared" si="19"/>
        <v>0.24403173912545656</v>
      </c>
      <c r="J53" s="50">
        <f t="shared" si="19"/>
        <v>0.428516017603263</v>
      </c>
      <c r="K53" s="52">
        <f t="shared" si="19"/>
        <v>0.44403588008571304</v>
      </c>
      <c r="L53" s="50">
        <f t="shared" si="19"/>
        <v>0.2087580593800398</v>
      </c>
      <c r="M53" s="50">
        <f t="shared" si="19"/>
        <v>0.18511532583020704</v>
      </c>
      <c r="N53" s="50">
        <f t="shared" si="19"/>
        <v>0.3018180814011688</v>
      </c>
      <c r="O53" s="10">
        <f t="shared" si="19"/>
        <v>0.2542286607806589</v>
      </c>
      <c r="P53" s="10">
        <f t="shared" si="19"/>
        <v>0.3068991839674877</v>
      </c>
    </row>
    <row r="54" spans="1:16" ht="11.25">
      <c r="A54" s="19" t="s">
        <v>47</v>
      </c>
      <c r="E54" s="12"/>
      <c r="F54" s="33"/>
      <c r="K54" s="34"/>
      <c r="L54" s="12"/>
      <c r="M54" s="12"/>
      <c r="N54" s="12"/>
      <c r="O54" s="4"/>
      <c r="P54" s="4"/>
    </row>
    <row r="55" spans="1:16" ht="11.25">
      <c r="A55" s="25" t="s">
        <v>48</v>
      </c>
      <c r="B55" s="12"/>
      <c r="C55" s="39">
        <f>(C40)/C28</f>
        <v>0.018364231014465358</v>
      </c>
      <c r="D55" s="39">
        <f>(D40/0.75)/D28</f>
        <v>0.0213599900111177</v>
      </c>
      <c r="E55" s="39">
        <f>(E40/0.5)/E28</f>
        <v>0.019340724574884356</v>
      </c>
      <c r="F55" s="40">
        <f>((F40)/0.25)/F28</f>
        <v>0.033559048233894294</v>
      </c>
      <c r="G55" s="53">
        <f>G40/G28</f>
        <v>0.0192838816165776</v>
      </c>
      <c r="H55" s="53">
        <f>(H40/0.75)/H28</f>
        <v>0.022899027417531533</v>
      </c>
      <c r="I55" s="41">
        <f>(I40/0.5)/I28</f>
        <v>0.019137271128581775</v>
      </c>
      <c r="J55" s="41">
        <f>((J40)/0.25)/J28</f>
        <v>0.018945679527896525</v>
      </c>
      <c r="K55" s="54">
        <f>K40/K28</f>
        <v>0.01818701199771472</v>
      </c>
      <c r="L55" s="53">
        <f>(L40/0.75)/L28</f>
        <v>0.022095168210678653</v>
      </c>
      <c r="M55" s="53">
        <f>(M40/0.5)/M28</f>
        <v>0.020158167439323697</v>
      </c>
      <c r="N55" s="39">
        <f>((N40)/0.25)/N28</f>
        <v>0.023829379343398033</v>
      </c>
      <c r="O55" s="7">
        <f>O40/O28</f>
        <v>0.008135762415772399</v>
      </c>
      <c r="P55" s="7">
        <f>P40/P28</f>
        <v>0.00519910830663532</v>
      </c>
    </row>
    <row r="56" spans="1:16" ht="11.25">
      <c r="A56" s="25" t="s">
        <v>49</v>
      </c>
      <c r="B56" s="12"/>
      <c r="C56" s="39">
        <f>(C40)/C27</f>
        <v>0.015902418444776672</v>
      </c>
      <c r="D56" s="39">
        <f>(D40/0.75)/D27</f>
        <v>0.01910670783098889</v>
      </c>
      <c r="E56" s="39">
        <f>(E40/0.5)/E27</f>
        <v>0.017902041637332798</v>
      </c>
      <c r="F56" s="40">
        <f>((F40)/0.25)/F27</f>
        <v>0.027558956839278646</v>
      </c>
      <c r="G56" s="53">
        <f>G40/G27</f>
        <v>0.014328845909710609</v>
      </c>
      <c r="H56" s="53">
        <f>(H40/0.75)/H27</f>
        <v>0.01963640988320745</v>
      </c>
      <c r="I56" s="41">
        <f>(I40/0.5)/I27</f>
        <v>0.016902309220894907</v>
      </c>
      <c r="J56" s="41">
        <f>((J40)/0.25)/J27</f>
        <v>0.013555466152614316</v>
      </c>
      <c r="K56" s="54">
        <f>K40/K27</f>
        <v>0.012516645172113702</v>
      </c>
      <c r="L56" s="53">
        <f>(L40/0.75)/L27</f>
        <v>0.017282710570400057</v>
      </c>
      <c r="M56" s="53">
        <f>(M40/0.5)/M27</f>
        <v>0.015523515437833696</v>
      </c>
      <c r="N56" s="39">
        <f>((N40)/0.25)/N27</f>
        <v>0.01718702469511352</v>
      </c>
      <c r="O56" s="7">
        <f>O40/O27</f>
        <v>0.0059688375414248315</v>
      </c>
      <c r="P56" s="7">
        <f>P40/P27</f>
        <v>0.003708485898543194</v>
      </c>
    </row>
    <row r="57" spans="1:16" ht="11.25">
      <c r="A57" s="25" t="s">
        <v>50</v>
      </c>
      <c r="B57" s="12"/>
      <c r="C57" s="39">
        <f>(C40)/C31</f>
        <v>0.19975674736476312</v>
      </c>
      <c r="D57" s="39">
        <f>(D40/0.75)/D31</f>
        <v>0.2318370939350296</v>
      </c>
      <c r="E57" s="39">
        <f>(E40/0.5)/E31</f>
        <v>0.23440235108962726</v>
      </c>
      <c r="F57" s="40">
        <f>((F40)/0.25)/F31</f>
        <v>0.3874331550802139</v>
      </c>
      <c r="G57" s="53">
        <f>+G40/G31</f>
        <v>0.23313037699588698</v>
      </c>
      <c r="H57" s="53">
        <f>(H40/0.75)/H31</f>
        <v>0.2602783344883778</v>
      </c>
      <c r="I57" s="41">
        <f>(I40/0.5)/I31</f>
        <v>0.23846448208495297</v>
      </c>
      <c r="J57" s="41">
        <f>((J40)/0.25)/J31</f>
        <v>0.2204509611696006</v>
      </c>
      <c r="K57" s="54">
        <f>+K40/K31</f>
        <v>0.2146598035469442</v>
      </c>
      <c r="L57" s="53">
        <f>(L40/0.75)/L31</f>
        <v>0.23185217437801256</v>
      </c>
      <c r="M57" s="53">
        <f>(M40/0.5)/M31</f>
        <v>0.22507490317394588</v>
      </c>
      <c r="N57" s="39">
        <f>((N40)/0.25)/N31</f>
        <v>0.2554918938362324</v>
      </c>
      <c r="O57" s="7">
        <f>O40/O31</f>
        <v>0.09628913592180871</v>
      </c>
      <c r="P57" s="7">
        <f>P40/P31</f>
        <v>0.06664376502919958</v>
      </c>
    </row>
    <row r="58" spans="1:16" ht="11.25">
      <c r="A58" s="25" t="s">
        <v>51</v>
      </c>
      <c r="B58" s="12"/>
      <c r="C58" s="39">
        <f>(C33)/C28</f>
        <v>0.056471740834856364</v>
      </c>
      <c r="D58" s="39">
        <f>(D33/0.75)/D28</f>
        <v>0.05938040363746439</v>
      </c>
      <c r="E58" s="39">
        <f>(E33/0.5)/E28</f>
        <v>0.05767235519301635</v>
      </c>
      <c r="F58" s="40">
        <f>((F33)/0.25)/F28</f>
        <v>0.06415359807307604</v>
      </c>
      <c r="G58" s="53">
        <f>G33/G28</f>
        <v>0.07937590346768167</v>
      </c>
      <c r="H58" s="53">
        <f>(H33/0.75)/H28</f>
        <v>0.09278698213801156</v>
      </c>
      <c r="I58" s="41">
        <f>(I33/0.5)/I28</f>
        <v>0.09570575152580946</v>
      </c>
      <c r="J58" s="41">
        <f>((J33)/0.25)/J28</f>
        <v>0.11175459996849713</v>
      </c>
      <c r="K58" s="54">
        <f>K33/K28</f>
        <v>0.10131403542182442</v>
      </c>
      <c r="L58" s="53">
        <f>(L33/0.75)/L28</f>
        <v>0.10921209527012567</v>
      </c>
      <c r="M58" s="53">
        <f>(M33/0.5)/M28</f>
        <v>0.10568639214616853</v>
      </c>
      <c r="N58" s="39">
        <f>((N33)/0.25)/N28</f>
        <v>0.11149772346034029</v>
      </c>
      <c r="O58" s="7">
        <f>O33/O28</f>
        <v>0.08136216167162012</v>
      </c>
      <c r="P58" s="7">
        <f>P33/P27</f>
        <v>0.01789943990393388</v>
      </c>
    </row>
    <row r="59" spans="1:16" ht="11.25">
      <c r="A59" s="25" t="s">
        <v>52</v>
      </c>
      <c r="B59" s="12"/>
      <c r="C59" s="39">
        <f>(C34)/C28</f>
        <v>0.018723635361660607</v>
      </c>
      <c r="D59" s="39">
        <f>(D34/0.75)/D28</f>
        <v>0.020280011223670333</v>
      </c>
      <c r="E59" s="39">
        <f>(E34/0.5)/E28</f>
        <v>0.01945203047131422</v>
      </c>
      <c r="F59" s="40">
        <f>((F34)/0.25)/F28</f>
        <v>0.021643154295772404</v>
      </c>
      <c r="G59" s="53">
        <f>G34/G28</f>
        <v>0.04320599731689598</v>
      </c>
      <c r="H59" s="53">
        <f>(H34/0.75)/H28</f>
        <v>0.05457359844527425</v>
      </c>
      <c r="I59" s="41">
        <f>(I34/0.5)/I28</f>
        <v>0.059681131685114304</v>
      </c>
      <c r="J59" s="41">
        <f>((J34)/0.25)/J28</f>
        <v>0.0725884736126832</v>
      </c>
      <c r="K59" s="54">
        <f>K34/K28</f>
        <v>0.07029518187011997</v>
      </c>
      <c r="L59" s="53">
        <f>(L34/0.75)/L28</f>
        <v>0.07577233357647337</v>
      </c>
      <c r="M59" s="53">
        <f>(M34/0.5)/M28</f>
        <v>0.07400054540496319</v>
      </c>
      <c r="N59" s="39">
        <f>((N34)/0.25)/N28</f>
        <v>0.07691349149293074</v>
      </c>
      <c r="O59" s="7">
        <f>O34/O28</f>
        <v>0.05824806588470177</v>
      </c>
      <c r="P59" s="7">
        <f>P34/P27</f>
        <v>0.012220277806258548</v>
      </c>
    </row>
    <row r="60" spans="1:16" ht="11.25">
      <c r="A60" s="25" t="s">
        <v>53</v>
      </c>
      <c r="B60" s="12"/>
      <c r="C60" s="39">
        <f>(C35)/C28</f>
        <v>0.03774810547319576</v>
      </c>
      <c r="D60" s="39">
        <f>(D35/0.75)/D28</f>
        <v>0.03910039241379406</v>
      </c>
      <c r="E60" s="39">
        <f>(E35/0.5)/E28</f>
        <v>0.038220324721702136</v>
      </c>
      <c r="F60" s="40">
        <f>((F35)/0.25)/F28</f>
        <v>0.04251044377730364</v>
      </c>
      <c r="G60" s="53">
        <f>G35/G28</f>
        <v>0.03616990615078569</v>
      </c>
      <c r="H60" s="53">
        <f>(H35/0.75)/H28</f>
        <v>0.03821338369273732</v>
      </c>
      <c r="I60" s="41">
        <f>(I35/0.5)/I28</f>
        <v>0.036024619840695146</v>
      </c>
      <c r="J60" s="41">
        <f>((J35)/0.25)/J28</f>
        <v>0.03916612635581393</v>
      </c>
      <c r="K60" s="54">
        <f>K35/K28</f>
        <v>0.031018853551704438</v>
      </c>
      <c r="L60" s="53">
        <f>(L35/0.75)/L28</f>
        <v>0.0334397616936523</v>
      </c>
      <c r="M60" s="53">
        <f>(M35/0.5)/M28</f>
        <v>0.031685846741205344</v>
      </c>
      <c r="N60" s="39">
        <f>((N35)/0.25)/N28</f>
        <v>0.034584231967409534</v>
      </c>
      <c r="O60" s="7">
        <f>O35/O28</f>
        <v>0.023114095786918348</v>
      </c>
      <c r="P60" s="7">
        <f>P35/P27</f>
        <v>0.005679162097675332</v>
      </c>
    </row>
    <row r="61" spans="1:16" ht="11.25">
      <c r="A61" s="25" t="s">
        <v>54</v>
      </c>
      <c r="B61" s="12"/>
      <c r="C61" s="39">
        <f>(C38)/(C37)</f>
        <v>0.593087287639133</v>
      </c>
      <c r="D61" s="39">
        <f>(D38/0.75)/(D37/0.75)</f>
        <v>0.5463042293013474</v>
      </c>
      <c r="E61" s="39">
        <f>(E38/0.5)/(E37/0.5)</f>
        <v>0.5629940119760479</v>
      </c>
      <c r="F61" s="40">
        <f>(F38/0.25)/(F37/0.25)</f>
        <v>0.31699269384869194</v>
      </c>
      <c r="G61" s="53">
        <f>G38/G37</f>
        <v>0.5624030746409547</v>
      </c>
      <c r="H61" s="53">
        <f>(H38/0.75)/(H37/0.75)</f>
        <v>0.5101522842639594</v>
      </c>
      <c r="I61" s="41">
        <f>(I38/0.5)/(I37/0.5)</f>
        <v>0.552870090634441</v>
      </c>
      <c r="J61" s="41">
        <f>(J38/0.25)/(J37/0.25)</f>
        <v>0.6034958601655934</v>
      </c>
      <c r="K61" s="54">
        <f>K38/K37</f>
        <v>0.5489181561618062</v>
      </c>
      <c r="L61" s="53">
        <f>(L38/0.75)/(L37/0.75)</f>
        <v>0.5026219192448873</v>
      </c>
      <c r="M61" s="53">
        <f>(M38/0.5)/(M37/0.5)</f>
        <v>0.48984098939929327</v>
      </c>
      <c r="N61" s="39">
        <f>(N38/0.25)/(N37/0.25)</f>
        <v>0.4455842997323818</v>
      </c>
      <c r="O61" s="7">
        <f>O38/O37</f>
        <v>0.7221964423820573</v>
      </c>
      <c r="P61" s="7">
        <f>P38/P37</f>
        <v>0.4241119483315393</v>
      </c>
    </row>
    <row r="62" spans="1:16" ht="11.25">
      <c r="A62" s="11" t="s">
        <v>55</v>
      </c>
      <c r="B62" s="11"/>
      <c r="C62" s="43">
        <f>(C36)/C28</f>
        <v>0.007696577538825653</v>
      </c>
      <c r="D62" s="43">
        <f>(D36/0.75)/D28</f>
        <v>0.008223319709198203</v>
      </c>
      <c r="E62" s="43">
        <f>(E36/0.5)/E28</f>
        <v>0.006037019811124494</v>
      </c>
      <c r="F62" s="44">
        <f>(F36/0.25)/F28</f>
        <v>0.00662380110068583</v>
      </c>
      <c r="G62" s="55">
        <f>G36/G28</f>
        <v>0.007897774628176158</v>
      </c>
      <c r="H62" s="55">
        <f>(H36/0.75)/H28</f>
        <v>0.00853385362595399</v>
      </c>
      <c r="I62" s="43">
        <f>(I36/0.5)/I28</f>
        <v>0.006775628426605979</v>
      </c>
      <c r="J62" s="43">
        <f>(J36/0.25)/J28</f>
        <v>0.008615668648416982</v>
      </c>
      <c r="K62" s="56">
        <f>K36/K28</f>
        <v>0.009468672633784042</v>
      </c>
      <c r="L62" s="55">
        <f>(L36/0.75)/L28</f>
        <v>0.010983523259182903</v>
      </c>
      <c r="M62" s="55">
        <f>(M36/0.5)/M28</f>
        <v>0.007827652031633488</v>
      </c>
      <c r="N62" s="43">
        <f>(N36/0.25)/N28</f>
        <v>0.00839683680805176</v>
      </c>
      <c r="O62" s="8">
        <f>O36/O28</f>
        <v>0.006220931551602877</v>
      </c>
      <c r="P62" s="8">
        <f>P36/P27</f>
        <v>0.0007785387453361532</v>
      </c>
    </row>
    <row r="63" spans="1:16" ht="11.25">
      <c r="A63" s="19" t="s">
        <v>56</v>
      </c>
      <c r="E63" s="12"/>
      <c r="F63" s="33"/>
      <c r="K63" s="34"/>
      <c r="L63" s="12"/>
      <c r="M63" s="12"/>
      <c r="N63" s="12"/>
      <c r="O63" s="4"/>
      <c r="P63" s="4"/>
    </row>
    <row r="64" spans="1:16" ht="11.25">
      <c r="A64" s="25" t="s">
        <v>57</v>
      </c>
      <c r="C64" s="26">
        <v>118</v>
      </c>
      <c r="D64" s="26">
        <v>117</v>
      </c>
      <c r="E64" s="12">
        <v>112</v>
      </c>
      <c r="F64" s="33">
        <v>114</v>
      </c>
      <c r="G64" s="25">
        <v>105</v>
      </c>
      <c r="H64" s="26">
        <v>106</v>
      </c>
      <c r="I64" s="26">
        <v>99</v>
      </c>
      <c r="J64" s="26">
        <v>95</v>
      </c>
      <c r="K64" s="29">
        <v>90</v>
      </c>
      <c r="L64" s="27">
        <v>90</v>
      </c>
      <c r="M64" s="27">
        <v>87</v>
      </c>
      <c r="N64" s="27">
        <v>79</v>
      </c>
      <c r="O64" s="5">
        <v>66</v>
      </c>
      <c r="P64" s="5">
        <v>58</v>
      </c>
    </row>
    <row r="65" spans="1:16" ht="11.25">
      <c r="A65" s="25" t="s">
        <v>58</v>
      </c>
      <c r="C65" s="26">
        <v>2</v>
      </c>
      <c r="D65" s="26">
        <v>2</v>
      </c>
      <c r="E65" s="12">
        <v>2</v>
      </c>
      <c r="F65" s="33">
        <v>2</v>
      </c>
      <c r="G65" s="25">
        <v>2</v>
      </c>
      <c r="H65" s="26">
        <v>2</v>
      </c>
      <c r="I65" s="26">
        <v>2</v>
      </c>
      <c r="J65" s="26">
        <v>2</v>
      </c>
      <c r="K65" s="29">
        <v>2</v>
      </c>
      <c r="L65" s="27">
        <v>2</v>
      </c>
      <c r="M65" s="27">
        <v>2</v>
      </c>
      <c r="N65" s="27">
        <v>2</v>
      </c>
      <c r="O65" s="5">
        <v>1</v>
      </c>
      <c r="P65" s="5">
        <v>1</v>
      </c>
    </row>
    <row r="66" spans="1:16" ht="11.25">
      <c r="A66" s="25" t="s">
        <v>59</v>
      </c>
      <c r="C66" s="27">
        <f aca="true" t="shared" si="20" ref="C66:P66">C12/C64</f>
        <v>2787.1101694915255</v>
      </c>
      <c r="D66" s="27">
        <f t="shared" si="20"/>
        <v>2833.957264957265</v>
      </c>
      <c r="E66" s="27">
        <f t="shared" si="20"/>
        <v>3108.0446428571427</v>
      </c>
      <c r="F66" s="28">
        <f t="shared" si="20"/>
        <v>2785.90350877193</v>
      </c>
      <c r="G66" s="26">
        <f t="shared" si="20"/>
        <v>3044.209523809524</v>
      </c>
      <c r="H66" s="26">
        <f t="shared" si="20"/>
        <v>2701.6792452830186</v>
      </c>
      <c r="I66" s="26">
        <f t="shared" si="20"/>
        <v>2966.5656565656564</v>
      </c>
      <c r="J66" s="26">
        <f t="shared" si="20"/>
        <v>2781.4210526315787</v>
      </c>
      <c r="K66" s="29">
        <f t="shared" si="20"/>
        <v>2981.7555555555555</v>
      </c>
      <c r="L66" s="27">
        <f t="shared" si="20"/>
        <v>2860.9444444444443</v>
      </c>
      <c r="M66" s="27">
        <f t="shared" si="20"/>
        <v>2968.5632183908046</v>
      </c>
      <c r="N66" s="27">
        <f t="shared" si="20"/>
        <v>2853.6582278481014</v>
      </c>
      <c r="O66" s="5">
        <f t="shared" si="20"/>
        <v>3428.742424242424</v>
      </c>
      <c r="P66" s="5">
        <f t="shared" si="20"/>
        <v>3663.9310344827586</v>
      </c>
    </row>
    <row r="67" spans="1:16" ht="11.25">
      <c r="A67" s="25" t="s">
        <v>60</v>
      </c>
      <c r="C67" s="27">
        <f aca="true" t="shared" si="21" ref="C67:P67">C16/C64</f>
        <v>3210.2203389830506</v>
      </c>
      <c r="D67" s="27">
        <f t="shared" si="21"/>
        <v>3189.076923076923</v>
      </c>
      <c r="E67" s="27">
        <f t="shared" si="21"/>
        <v>3464.2410714285716</v>
      </c>
      <c r="F67" s="28">
        <f t="shared" si="21"/>
        <v>3124.3508771929824</v>
      </c>
      <c r="G67" s="26">
        <f t="shared" si="21"/>
        <v>3834.0666666666666</v>
      </c>
      <c r="H67" s="26">
        <f t="shared" si="21"/>
        <v>3284.801886792453</v>
      </c>
      <c r="I67" s="26">
        <f t="shared" si="21"/>
        <v>3528.7676767676767</v>
      </c>
      <c r="J67" s="26">
        <f t="shared" si="21"/>
        <v>4314.989473684211</v>
      </c>
      <c r="K67" s="29">
        <f t="shared" si="21"/>
        <v>4765.2555555555555</v>
      </c>
      <c r="L67" s="27">
        <f t="shared" si="21"/>
        <v>3245.011111111111</v>
      </c>
      <c r="M67" s="27">
        <f t="shared" si="21"/>
        <v>3308.9655172413795</v>
      </c>
      <c r="N67" s="27">
        <f t="shared" si="21"/>
        <v>3667.1012658227846</v>
      </c>
      <c r="O67" s="5">
        <f t="shared" si="21"/>
        <v>4137.530303030303</v>
      </c>
      <c r="P67" s="5">
        <f t="shared" si="21"/>
        <v>4810.913793103448</v>
      </c>
    </row>
    <row r="68" spans="1:16" ht="11.25">
      <c r="A68" s="11" t="s">
        <v>61</v>
      </c>
      <c r="B68" s="11"/>
      <c r="C68" s="30">
        <f aca="true" t="shared" si="22" ref="C68:P68">(C40/C64)</f>
        <v>58.45762711864407</v>
      </c>
      <c r="D68" s="30">
        <f t="shared" si="22"/>
        <v>49.52991452991453</v>
      </c>
      <c r="E68" s="30">
        <f t="shared" si="22"/>
        <v>32.580357142857146</v>
      </c>
      <c r="F68" s="31">
        <f t="shared" si="22"/>
        <v>25.42105263157895</v>
      </c>
      <c r="G68" s="30">
        <f t="shared" si="22"/>
        <v>61.80952380952381</v>
      </c>
      <c r="H68" s="30">
        <f t="shared" si="22"/>
        <v>49.160377358490564</v>
      </c>
      <c r="I68" s="30">
        <f t="shared" si="22"/>
        <v>29.8989898989899</v>
      </c>
      <c r="J68" s="30">
        <f t="shared" si="22"/>
        <v>13.610526315789473</v>
      </c>
      <c r="K68" s="32">
        <f t="shared" si="22"/>
        <v>53.05555555555556</v>
      </c>
      <c r="L68" s="30">
        <f t="shared" si="22"/>
        <v>42.15555555555556</v>
      </c>
      <c r="M68" s="30">
        <f t="shared" si="22"/>
        <v>26.551724137931036</v>
      </c>
      <c r="N68" s="30">
        <f t="shared" si="22"/>
        <v>15.734177215189874</v>
      </c>
      <c r="O68" s="6">
        <f t="shared" si="22"/>
        <v>27.166666666666668</v>
      </c>
      <c r="P68" s="6">
        <f t="shared" si="22"/>
        <v>18.396551724137932</v>
      </c>
    </row>
    <row r="69" spans="1:16" ht="11.25">
      <c r="A69" s="19" t="s">
        <v>62</v>
      </c>
      <c r="E69" s="12"/>
      <c r="F69" s="33"/>
      <c r="K69" s="34"/>
      <c r="L69" s="12"/>
      <c r="M69" s="12"/>
      <c r="N69" s="12"/>
      <c r="O69" s="4"/>
      <c r="P69" s="4"/>
    </row>
    <row r="70" spans="1:16" ht="11.25">
      <c r="A70" s="25" t="s">
        <v>63</v>
      </c>
      <c r="C70" s="39">
        <f aca="true" t="shared" si="23" ref="C70:K70">(C10/G10)-1</f>
        <v>-0.03668231966053748</v>
      </c>
      <c r="D70" s="39">
        <f t="shared" si="23"/>
        <v>0.10298446145525642</v>
      </c>
      <c r="E70" s="39">
        <f t="shared" si="23"/>
        <v>0.11805995739595776</v>
      </c>
      <c r="F70" s="40">
        <f t="shared" si="23"/>
        <v>-0.10946334666726598</v>
      </c>
      <c r="G70" s="41">
        <f t="shared" si="23"/>
        <v>-0.047662665143645366</v>
      </c>
      <c r="H70" s="41">
        <f t="shared" si="23"/>
        <v>0.1904182646027368</v>
      </c>
      <c r="I70" s="41">
        <f t="shared" si="23"/>
        <v>0.21987856355131896</v>
      </c>
      <c r="J70" s="41">
        <f t="shared" si="23"/>
        <v>0.39883749807454727</v>
      </c>
      <c r="K70" s="42">
        <f t="shared" si="23"/>
        <v>0.5518371606119186</v>
      </c>
      <c r="L70" s="39">
        <f>(L10/262329)-1</f>
        <v>0.23155655684274334</v>
      </c>
      <c r="M70" s="39">
        <f>(M10/279670)-1</f>
        <v>0.12831551471376978</v>
      </c>
      <c r="N70" s="39">
        <f>(N10/260469)-1</f>
        <v>0.22128545047587234</v>
      </c>
      <c r="O70" s="7">
        <f>(O10/P10)-1</f>
        <v>-0.009274568992653887</v>
      </c>
      <c r="P70" s="7">
        <f>(P10/273644)-1</f>
        <v>0.10286722895440792</v>
      </c>
    </row>
    <row r="71" spans="1:16" ht="11.25">
      <c r="A71" s="25" t="s">
        <v>64</v>
      </c>
      <c r="C71" s="39">
        <f aca="true" t="shared" si="24" ref="C71:I73">(C12/G12)-1</f>
        <v>0.028897954586693864</v>
      </c>
      <c r="D71" s="39">
        <f t="shared" si="24"/>
        <v>0.15781589367898374</v>
      </c>
      <c r="E71" s="39">
        <f t="shared" si="24"/>
        <v>0.1852667778950594</v>
      </c>
      <c r="F71" s="40">
        <f t="shared" si="24"/>
        <v>0.20193388461029005</v>
      </c>
      <c r="G71" s="41">
        <f t="shared" si="24"/>
        <v>0.19110292966857712</v>
      </c>
      <c r="H71" s="41">
        <f t="shared" si="24"/>
        <v>0.11221236188515826</v>
      </c>
      <c r="I71" s="41">
        <f t="shared" si="24"/>
        <v>0.13716531469614535</v>
      </c>
      <c r="J71" s="41">
        <f>J12/N12-1</f>
        <v>0.17209089820306156</v>
      </c>
      <c r="K71" s="42">
        <f>(K12/O12)-1</f>
        <v>0.18586636146303315</v>
      </c>
      <c r="L71" s="39">
        <f>L12/191413-1</f>
        <v>0.3451803169063752</v>
      </c>
      <c r="M71" s="39">
        <f>M12/191345-1</f>
        <v>0.3497347722699835</v>
      </c>
      <c r="N71" s="39">
        <f>N12/189897-1</f>
        <v>0.18716462082076069</v>
      </c>
      <c r="O71" s="7">
        <f>(O12/P12)-1</f>
        <v>0.06488696896116841</v>
      </c>
      <c r="P71" s="7">
        <f>P12/197947-1</f>
        <v>0.0735600943686947</v>
      </c>
    </row>
    <row r="72" spans="2:16" ht="11.25">
      <c r="B72" s="25" t="s">
        <v>15</v>
      </c>
      <c r="C72" s="39">
        <f t="shared" si="24"/>
        <v>0.08070974845990797</v>
      </c>
      <c r="D72" s="39">
        <f t="shared" si="24"/>
        <v>0.2209016970766391</v>
      </c>
      <c r="E72" s="39">
        <f t="shared" si="24"/>
        <v>0.3043976248605962</v>
      </c>
      <c r="F72" s="40">
        <f t="shared" si="24"/>
        <v>0.33889911994093325</v>
      </c>
      <c r="G72" s="41">
        <f t="shared" si="24"/>
        <v>0.2719476444635114</v>
      </c>
      <c r="H72" s="41">
        <f t="shared" si="24"/>
        <v>0.17816260127093653</v>
      </c>
      <c r="I72" s="41">
        <f t="shared" si="24"/>
        <v>0.17927550462751096</v>
      </c>
      <c r="J72" s="41">
        <f>(J13/N13)-1</f>
        <v>0.22594573224020964</v>
      </c>
      <c r="K72" s="42">
        <f>(K13/O13)-1</f>
        <v>0.23341374212123567</v>
      </c>
      <c r="L72" s="39">
        <f>(L13/150894)-1</f>
        <v>0.5173896907763065</v>
      </c>
      <c r="M72" s="39">
        <f>(M13/148392)-1</f>
        <v>0.516705752331662</v>
      </c>
      <c r="N72" s="39">
        <f>(N13/146517)-1</f>
        <v>0.3120115754485828</v>
      </c>
      <c r="O72" s="7">
        <f>(O13/P13)-1</f>
        <v>0.39662517569662814</v>
      </c>
      <c r="P72" s="7">
        <f>(P13/144209)-1</f>
        <v>-0.04290300882746567</v>
      </c>
    </row>
    <row r="73" spans="2:16" ht="11.25">
      <c r="B73" s="25" t="s">
        <v>16</v>
      </c>
      <c r="C73" s="39">
        <f t="shared" si="24"/>
        <v>-0.8807547169811321</v>
      </c>
      <c r="D73" s="39">
        <f t="shared" si="24"/>
        <v>-0.8661251504211793</v>
      </c>
      <c r="E73" s="39">
        <f t="shared" si="24"/>
        <v>-0.933048029992219</v>
      </c>
      <c r="F73" s="40">
        <f t="shared" si="24"/>
        <v>-0.9278938709790332</v>
      </c>
      <c r="G73" s="41">
        <f t="shared" si="24"/>
        <v>-0.4370731069642799</v>
      </c>
      <c r="H73" s="41">
        <f t="shared" si="24"/>
        <v>-0.41725105189340816</v>
      </c>
      <c r="I73" s="41">
        <f t="shared" si="24"/>
        <v>-0.14832218808361952</v>
      </c>
      <c r="J73" s="41">
        <f>(J14/N14)-1</f>
        <v>-0.13966934682446475</v>
      </c>
      <c r="K73" s="42">
        <f>(K14/O14)-1</f>
        <v>-0.08746868662769891</v>
      </c>
      <c r="L73" s="39">
        <f>(L14/40519)-1</f>
        <v>-0.2961326784965078</v>
      </c>
      <c r="M73" s="39">
        <f>(M14/42953)-1</f>
        <v>-0.2271087002072032</v>
      </c>
      <c r="N73" s="39">
        <f>(N14/43380)-1</f>
        <v>-0.234508990318119</v>
      </c>
      <c r="O73" s="7">
        <f>(O14/P14)-1</f>
        <v>-0.5498214429557232</v>
      </c>
      <c r="P73" s="7">
        <f>(P14/53738)-1</f>
        <v>0.3860955003907849</v>
      </c>
    </row>
    <row r="74" spans="1:16" ht="11.25">
      <c r="A74" s="25" t="s">
        <v>65</v>
      </c>
      <c r="C74" s="39">
        <f aca="true" t="shared" si="25" ref="C74:K75">(C16/G16)-1</f>
        <v>-0.05904708912829093</v>
      </c>
      <c r="D74" s="39">
        <f t="shared" si="25"/>
        <v>0.07160766135633234</v>
      </c>
      <c r="E74" s="39">
        <f t="shared" si="25"/>
        <v>0.11062608058440304</v>
      </c>
      <c r="F74" s="40">
        <f t="shared" si="25"/>
        <v>-0.13111698753915357</v>
      </c>
      <c r="G74" s="41">
        <f t="shared" si="25"/>
        <v>-0.061314188582634044</v>
      </c>
      <c r="H74" s="41">
        <f t="shared" si="25"/>
        <v>0.19221985201214853</v>
      </c>
      <c r="I74" s="41">
        <f t="shared" si="25"/>
        <v>0.21351952202306523</v>
      </c>
      <c r="J74" s="41">
        <f t="shared" si="25"/>
        <v>0.41498993790149163</v>
      </c>
      <c r="K74" s="42">
        <f t="shared" si="25"/>
        <v>0.570520402670309</v>
      </c>
      <c r="L74" s="39">
        <f>L16/233782-1</f>
        <v>0.2492450231412171</v>
      </c>
      <c r="M74" s="39">
        <f>M16/255614-1</f>
        <v>0.1262293927562652</v>
      </c>
      <c r="N74" s="39">
        <f>N16/237592-1</f>
        <v>0.21932135762146876</v>
      </c>
      <c r="O74" s="7">
        <f>(O16/P16)-1</f>
        <v>-0.021345145556260325</v>
      </c>
      <c r="P74" s="7">
        <f>P16/253953-1</f>
        <v>0.09875843167830278</v>
      </c>
    </row>
    <row r="75" spans="2:16" ht="11.25">
      <c r="B75" s="25" t="s">
        <v>15</v>
      </c>
      <c r="C75" s="39">
        <f t="shared" si="25"/>
        <v>0.05375785366952024</v>
      </c>
      <c r="D75" s="39">
        <f t="shared" si="25"/>
        <v>0.14813791550909938</v>
      </c>
      <c r="E75" s="39">
        <f t="shared" si="25"/>
        <v>0.13911184003638177</v>
      </c>
      <c r="F75" s="40">
        <f t="shared" si="25"/>
        <v>-0.07024526967127243</v>
      </c>
      <c r="G75" s="41">
        <f t="shared" si="25"/>
        <v>-0.17133251044163444</v>
      </c>
      <c r="H75" s="41">
        <f t="shared" si="25"/>
        <v>-0.07636581873514392</v>
      </c>
      <c r="I75" s="41">
        <f t="shared" si="25"/>
        <v>0.8429419736795178</v>
      </c>
      <c r="J75" s="41">
        <f t="shared" si="25"/>
        <v>0.6743582823557634</v>
      </c>
      <c r="K75" s="42">
        <f t="shared" si="25"/>
        <v>2.1457919450966227</v>
      </c>
      <c r="L75" s="39">
        <f>(L17/93463)-1</f>
        <v>1.2641366102093876</v>
      </c>
      <c r="M75" s="39">
        <f>(M17/178035)-1</f>
        <v>-0.37003398208217486</v>
      </c>
      <c r="N75" s="39">
        <f>(N17/89331)-1</f>
        <v>0.4932330322060652</v>
      </c>
      <c r="O75" s="7">
        <f>(O17/P17)-1</f>
        <v>-0.2149092101415241</v>
      </c>
      <c r="P75" s="7">
        <f>(P17/107305)-1</f>
        <v>0.051609897022505846</v>
      </c>
    </row>
    <row r="76" spans="2:16" ht="11.25">
      <c r="B76" s="25" t="s">
        <v>16</v>
      </c>
      <c r="C76" s="39">
        <f aca="true" t="shared" si="26" ref="C76:K76">(C21/G21)-1</f>
        <v>-0.2108323525641772</v>
      </c>
      <c r="D76" s="39">
        <f t="shared" si="26"/>
        <v>-0.026326471820657837</v>
      </c>
      <c r="E76" s="39">
        <f t="shared" si="26"/>
        <v>0.06935107359920356</v>
      </c>
      <c r="F76" s="40">
        <f t="shared" si="26"/>
        <v>-0.2039843925864786</v>
      </c>
      <c r="G76" s="41">
        <f t="shared" si="26"/>
        <v>0.14284763052583216</v>
      </c>
      <c r="H76" s="41">
        <f t="shared" si="26"/>
        <v>0.8988040478380865</v>
      </c>
      <c r="I76" s="41">
        <f t="shared" si="26"/>
        <v>-0.18820992010197812</v>
      </c>
      <c r="J76" s="41">
        <f t="shared" si="26"/>
        <v>0.19364847833458088</v>
      </c>
      <c r="K76" s="42">
        <f t="shared" si="26"/>
        <v>-0.18594465674716099</v>
      </c>
      <c r="L76" s="39">
        <f>(L21/140319)-1</f>
        <v>-0.4267490503780671</v>
      </c>
      <c r="M76" s="39">
        <f>(M21/77579)-1</f>
        <v>1.2650975135023654</v>
      </c>
      <c r="N76" s="39">
        <f>(N21/148260)-1</f>
        <v>0.05428976123027107</v>
      </c>
      <c r="O76" s="7">
        <f>(O21/P21)-1</f>
        <v>0.11008484264997898</v>
      </c>
      <c r="P76" s="7">
        <f>(P21/146648)-1</f>
        <v>0.13325786918335059</v>
      </c>
    </row>
    <row r="77" spans="1:16" ht="11.25">
      <c r="A77" s="25" t="s">
        <v>66</v>
      </c>
      <c r="C77" s="39">
        <f aca="true" t="shared" si="27" ref="C77:K77">(C25/G25)-1</f>
        <v>0.22092163231179862</v>
      </c>
      <c r="D77" s="39">
        <f t="shared" si="27"/>
        <v>0.23745426471081865</v>
      </c>
      <c r="E77" s="39">
        <f t="shared" si="27"/>
        <v>0.2610384894698621</v>
      </c>
      <c r="F77" s="40">
        <f t="shared" si="27"/>
        <v>0.3128357747458741</v>
      </c>
      <c r="G77" s="41">
        <f t="shared" si="27"/>
        <v>0.2651342554922702</v>
      </c>
      <c r="H77" s="41">
        <f t="shared" si="27"/>
        <v>0.26243749470294087</v>
      </c>
      <c r="I77" s="41">
        <f t="shared" si="27"/>
        <v>0.24553389715526208</v>
      </c>
      <c r="J77" s="41">
        <f t="shared" si="27"/>
        <v>0.22917953346952347</v>
      </c>
      <c r="K77" s="42">
        <f t="shared" si="27"/>
        <v>0.23461750966899397</v>
      </c>
      <c r="L77" s="39">
        <f>(L25/20039)-1</f>
        <v>0.17760367283796596</v>
      </c>
      <c r="M77" s="39">
        <f>(M25/18492)-1</f>
        <v>0.19570625135193587</v>
      </c>
      <c r="N77" s="39">
        <f>(N25/17872)-1</f>
        <v>0.17776410026857659</v>
      </c>
      <c r="O77" s="7">
        <f>(O25/P25)-1</f>
        <v>0.14861824265851276</v>
      </c>
      <c r="P77" s="7">
        <f>(P25/14688)-1</f>
        <v>0.18007897603485845</v>
      </c>
    </row>
    <row r="78" spans="1:16" ht="11.25">
      <c r="A78" s="11" t="s">
        <v>67</v>
      </c>
      <c r="B78" s="11"/>
      <c r="C78" s="43">
        <f aca="true" t="shared" si="28" ref="C78:K78">(C40/G40)-1</f>
        <v>0.06286594761171038</v>
      </c>
      <c r="D78" s="43">
        <f t="shared" si="28"/>
        <v>0.11207061984264066</v>
      </c>
      <c r="E78" s="43">
        <f t="shared" si="28"/>
        <v>0.2327702702702703</v>
      </c>
      <c r="F78" s="44">
        <f t="shared" si="28"/>
        <v>1.2412993039443156</v>
      </c>
      <c r="G78" s="43">
        <f t="shared" si="28"/>
        <v>0.3591623036649214</v>
      </c>
      <c r="H78" s="43">
        <f t="shared" si="28"/>
        <v>0.3734844491302056</v>
      </c>
      <c r="I78" s="43">
        <f t="shared" si="28"/>
        <v>0.2813852813852813</v>
      </c>
      <c r="J78" s="43">
        <f t="shared" si="28"/>
        <v>0.04022526146419958</v>
      </c>
      <c r="K78" s="45">
        <f t="shared" si="28"/>
        <v>1.6631344116006694</v>
      </c>
      <c r="L78" s="43">
        <f>(L40/3275)-1</f>
        <v>0.15847328244274816</v>
      </c>
      <c r="M78" s="43">
        <f>(M40/2163)-1</f>
        <v>0.06796116504854366</v>
      </c>
      <c r="N78" s="43">
        <f>(N40/1060)-1</f>
        <v>0.17264150943396217</v>
      </c>
      <c r="O78" s="8">
        <f>(O40/P40)-1</f>
        <v>0.6804123711340206</v>
      </c>
      <c r="P78" s="8">
        <f>(P40/2241)-1</f>
        <v>-0.5238732708612226</v>
      </c>
    </row>
    <row r="79" spans="15:16" ht="11.25">
      <c r="O79" s="4"/>
      <c r="P79" s="4"/>
    </row>
    <row r="80" spans="15:16" ht="11.25">
      <c r="O80" s="4"/>
      <c r="P80" s="4"/>
    </row>
    <row r="81" spans="15:16" ht="11.25">
      <c r="O81" s="4"/>
      <c r="P81" s="4"/>
    </row>
    <row r="82" spans="15:16" ht="11.25">
      <c r="O82" s="4"/>
      <c r="P82" s="4"/>
    </row>
    <row r="83" spans="15:16" ht="11.25">
      <c r="O83" s="4"/>
      <c r="P83" s="4"/>
    </row>
    <row r="84" spans="15:16" ht="11.25">
      <c r="O84" s="4"/>
      <c r="P84" s="4"/>
    </row>
    <row r="85" spans="15:16" ht="11.25">
      <c r="O85" s="4"/>
      <c r="P85" s="4"/>
    </row>
    <row r="86" spans="15:16" ht="11.25">
      <c r="O86" s="4"/>
      <c r="P86" s="4"/>
    </row>
    <row r="87" spans="15:16" ht="11.25">
      <c r="O87" s="4"/>
      <c r="P87" s="4"/>
    </row>
    <row r="88" spans="15:16" ht="11.25">
      <c r="O88" s="4"/>
      <c r="P88" s="4"/>
    </row>
    <row r="89" spans="15:16" ht="11.25">
      <c r="O89" s="4"/>
      <c r="P89" s="4"/>
    </row>
    <row r="90" spans="15:16" ht="11.25">
      <c r="O90" s="4"/>
      <c r="P90" s="4"/>
    </row>
    <row r="91" spans="15:16" ht="11.25">
      <c r="O91" s="4"/>
      <c r="P91" s="4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2017-06-16T16:14:17Z</dcterms:created>
  <dcterms:modified xsi:type="dcterms:W3CDTF">2017-06-16T16:14:20Z</dcterms:modified>
  <cp:category/>
  <cp:version/>
  <cp:contentType/>
  <cp:contentStatus/>
</cp:coreProperties>
</file>