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izuho" sheetId="1" r:id="rId1"/>
  </sheets>
  <definedNames/>
  <calcPr fullCalcOnLoad="1"/>
</workbook>
</file>

<file path=xl/sharedStrings.xml><?xml version="1.0" encoding="utf-8"?>
<sst xmlns="http://schemas.openxmlformats.org/spreadsheetml/2006/main" count="91" uniqueCount="70">
  <si>
    <t>CUADRO No. 18-34</t>
  </si>
  <si>
    <t>MIZUHO CORPORATE BANK , LTD (1)</t>
  </si>
  <si>
    <t>ESTADISTICA FINANCIERA. TRIMESTRES  2000, 2001 Y 2002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</si>
  <si>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</si>
  <si>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</si>
  <si>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</si>
  <si>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</si>
  <si>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</si>
  <si>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</si>
  <si>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</si>
  <si>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</si>
  <si>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</si>
  <si>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</si>
  <si>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</si>
  <si>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</si>
  <si>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</si>
  <si>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</si>
  <si>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</si>
  <si>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</si>
  <si>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</si>
  <si>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</si>
  <si>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</si>
  <si>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</si>
  <si>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</si>
  <si>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</si>
  <si>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</si>
  <si>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</si>
  <si>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</si>
  <si>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</si>
  <si>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</si>
  <si>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</si>
  <si>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</si>
  <si>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</si>
  <si>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</si>
  <si>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</si>
  <si>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</si>
  <si>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</si>
  <si>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</si>
  <si>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</si>
  <si>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</si>
  <si>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</si>
  <si>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Ingresos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</si>
  <si>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</si>
  <si>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</si>
  <si>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</si>
  <si>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</si>
  <si>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</si>
  <si>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</si>
  <si>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</si>
  <si>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</si>
  <si>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</si>
  <si>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</si>
  <si>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</si>
  <si>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</si>
  <si>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</si>
  <si>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</si>
  <si>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</si>
  <si>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</si>
  <si>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</si>
  <si>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</si>
  <si>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</si>
  <si>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</si>
  <si>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</si>
  <si>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</si>
  <si>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</si>
  <si>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</si>
  <si>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</si>
  <si>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</si>
  <si>
    <t>Nota:</t>
  </si>
  <si>
    <t>(1) Antes Dai-Ichi Kangyo Bank, Ltd.</t>
  </si>
</sst>
</file>

<file path=xl/styles.xml><?xml version="1.0" encoding="utf-8"?>
<styleSheet xmlns="http://schemas.openxmlformats.org/spreadsheetml/2006/main">
  <numFmts count="4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_(* #,##0.0000_);_(* \(#,##0.0000\);_(* &quot;-&quot;??_);_(@_)"/>
    <numFmt numFmtId="199" formatCode="0.00000"/>
    <numFmt numFmtId="200" formatCode="0.0000"/>
    <numFmt numFmtId="201" formatCode="0.000"/>
    <numFmt numFmtId="202" formatCode="0.0"/>
    <numFmt numFmtId="203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195" fontId="2" fillId="0" borderId="0" xfId="46" applyNumberFormat="1" applyFont="1" applyAlignment="1">
      <alignment/>
    </xf>
    <xf numFmtId="195" fontId="2" fillId="0" borderId="16" xfId="46" applyNumberFormat="1" applyFont="1" applyBorder="1" applyAlignment="1">
      <alignment/>
    </xf>
    <xf numFmtId="195" fontId="2" fillId="0" borderId="0" xfId="46" applyNumberFormat="1" applyFont="1" applyBorder="1" applyAlignment="1">
      <alignment/>
    </xf>
    <xf numFmtId="195" fontId="3" fillId="0" borderId="0" xfId="46" applyNumberFormat="1" applyFont="1" applyAlignment="1">
      <alignment/>
    </xf>
    <xf numFmtId="195" fontId="3" fillId="0" borderId="0" xfId="46" applyNumberFormat="1" applyFont="1" applyBorder="1" applyAlignment="1">
      <alignment/>
    </xf>
    <xf numFmtId="195" fontId="3" fillId="0" borderId="15" xfId="46" applyNumberFormat="1" applyFont="1" applyBorder="1" applyAlignment="1">
      <alignment/>
    </xf>
    <xf numFmtId="195" fontId="3" fillId="0" borderId="16" xfId="46" applyNumberFormat="1" applyFont="1" applyBorder="1" applyAlignment="1">
      <alignment/>
    </xf>
    <xf numFmtId="195" fontId="3" fillId="0" borderId="10" xfId="46" applyNumberFormat="1" applyFont="1" applyBorder="1" applyAlignment="1">
      <alignment/>
    </xf>
    <xf numFmtId="195" fontId="3" fillId="0" borderId="13" xfId="46" applyNumberFormat="1" applyFont="1" applyBorder="1" applyAlignment="1">
      <alignment/>
    </xf>
    <xf numFmtId="195" fontId="3" fillId="0" borderId="14" xfId="46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95" fontId="3" fillId="0" borderId="15" xfId="0" applyNumberFormat="1" applyFont="1" applyBorder="1" applyAlignment="1">
      <alignment/>
    </xf>
    <xf numFmtId="195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46" applyNumberFormat="1" applyFont="1" applyBorder="1" applyAlignment="1">
      <alignment/>
    </xf>
    <xf numFmtId="43" fontId="3" fillId="0" borderId="0" xfId="46" applyFont="1" applyAlignment="1">
      <alignment/>
    </xf>
    <xf numFmtId="10" fontId="3" fillId="0" borderId="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3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97" fontId="3" fillId="0" borderId="16" xfId="52" applyNumberFormat="1" applyFont="1" applyBorder="1" applyAlignment="1">
      <alignment/>
    </xf>
    <xf numFmtId="197" fontId="3" fillId="0" borderId="0" xfId="52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3" fillId="0" borderId="15" xfId="52" applyNumberFormat="1" applyFont="1" applyBorder="1" applyAlignment="1">
      <alignment/>
    </xf>
    <xf numFmtId="197" fontId="3" fillId="0" borderId="10" xfId="52" applyNumberFormat="1" applyFont="1" applyBorder="1" applyAlignment="1">
      <alignment/>
    </xf>
    <xf numFmtId="197" fontId="3" fillId="0" borderId="13" xfId="52" applyNumberFormat="1" applyFont="1" applyBorder="1" applyAlignment="1">
      <alignment/>
    </xf>
    <xf numFmtId="197" fontId="3" fillId="0" borderId="14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10" fontId="3" fillId="0" borderId="14" xfId="52" applyNumberFormat="1" applyFont="1" applyFill="1" applyBorder="1" applyAlignment="1">
      <alignment/>
    </xf>
    <xf numFmtId="3" fontId="3" fillId="0" borderId="13" xfId="46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4" sqref="E14"/>
    </sheetView>
  </sheetViews>
  <sheetFormatPr defaultColWidth="11.421875" defaultRowHeight="12.75"/>
  <cols>
    <col min="1" max="1" width="2.00390625" style="2" customWidth="1"/>
    <col min="2" max="2" width="24.00390625" style="2" customWidth="1"/>
    <col min="3" max="3" width="8.140625" style="2" customWidth="1"/>
    <col min="4" max="4" width="8.57421875" style="2" customWidth="1"/>
    <col min="5" max="5" width="7.57421875" style="2" customWidth="1"/>
    <col min="6" max="7" width="7.7109375" style="2" customWidth="1"/>
    <col min="8" max="8" width="7.7109375" style="2" bestFit="1" customWidth="1"/>
    <col min="9" max="9" width="7.57421875" style="2" customWidth="1"/>
    <col min="10" max="10" width="7.421875" style="2" customWidth="1"/>
    <col min="11" max="11" width="8.140625" style="2" customWidth="1"/>
    <col min="12" max="12" width="7.7109375" style="2" bestFit="1" customWidth="1"/>
    <col min="13" max="13" width="7.421875" style="2" customWidth="1"/>
    <col min="14" max="14" width="7.7109375" style="2" customWidth="1"/>
    <col min="15" max="15" width="6.28125" style="2" hidden="1" customWidth="1"/>
    <col min="16" max="16" width="6.421875" style="2" hidden="1" customWidth="1"/>
    <col min="17" max="17" width="11.421875" style="2" customWidth="1"/>
    <col min="18" max="16384" width="11.421875" style="1" customWidth="1"/>
  </cols>
  <sheetData>
    <row r="1" spans="2:16" ht="11.25">
      <c r="B1" s="52"/>
      <c r="C1" s="52"/>
      <c r="D1" s="52"/>
      <c r="E1" s="52"/>
      <c r="F1" s="52"/>
      <c r="G1" s="52"/>
      <c r="H1" s="52" t="s">
        <v>0</v>
      </c>
      <c r="I1" s="52"/>
      <c r="J1" s="52"/>
      <c r="K1" s="52"/>
      <c r="L1" s="52"/>
      <c r="M1" s="52"/>
      <c r="N1" s="52"/>
      <c r="O1" s="52"/>
      <c r="P1" s="52"/>
    </row>
    <row r="2" spans="2:16" ht="11.25">
      <c r="B2" s="52"/>
      <c r="C2" s="52"/>
      <c r="D2" s="52"/>
      <c r="E2" s="52"/>
      <c r="F2" s="52"/>
      <c r="G2" s="52"/>
      <c r="H2" s="52" t="s">
        <v>1</v>
      </c>
      <c r="I2" s="52"/>
      <c r="J2" s="52"/>
      <c r="K2" s="52"/>
      <c r="L2" s="52"/>
      <c r="M2" s="52"/>
      <c r="N2" s="52"/>
      <c r="O2" s="52"/>
      <c r="P2" s="52"/>
    </row>
    <row r="3" spans="2:16" ht="11.25">
      <c r="B3" s="52"/>
      <c r="C3" s="52"/>
      <c r="D3" s="52"/>
      <c r="E3" s="52"/>
      <c r="F3" s="52"/>
      <c r="G3" s="52"/>
      <c r="H3" s="52" t="s">
        <v>2</v>
      </c>
      <c r="I3" s="52"/>
      <c r="J3" s="52"/>
      <c r="K3" s="52"/>
      <c r="L3" s="52"/>
      <c r="M3" s="52"/>
      <c r="N3" s="52"/>
      <c r="O3" s="52"/>
      <c r="P3" s="52"/>
    </row>
    <row r="4" spans="1:16" ht="11.25">
      <c r="A4" s="1"/>
      <c r="B4" s="51"/>
      <c r="C4" s="51"/>
      <c r="D4" s="51"/>
      <c r="E4" s="51"/>
      <c r="F4" s="51"/>
      <c r="G4" s="51"/>
      <c r="H4" s="51" t="s">
        <v>3</v>
      </c>
      <c r="I4" s="51"/>
      <c r="J4" s="51"/>
      <c r="K4" s="51"/>
      <c r="L4" s="51"/>
      <c r="M4" s="51"/>
      <c r="N4" s="51"/>
      <c r="O4" s="51"/>
      <c r="P4" s="51"/>
    </row>
    <row r="5" spans="1:16" ht="11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11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3"/>
      <c r="P6" s="3"/>
    </row>
    <row r="7" spans="1:16" ht="11.25">
      <c r="A7" s="5"/>
      <c r="B7" s="5"/>
      <c r="C7" s="54">
        <v>2002</v>
      </c>
      <c r="D7" s="54"/>
      <c r="E7" s="54"/>
      <c r="F7" s="55"/>
      <c r="G7" s="54">
        <v>2001</v>
      </c>
      <c r="H7" s="54"/>
      <c r="I7" s="54"/>
      <c r="J7" s="54"/>
      <c r="K7" s="53">
        <v>2000</v>
      </c>
      <c r="L7" s="54"/>
      <c r="M7" s="54"/>
      <c r="N7" s="54"/>
      <c r="O7" s="54" t="s">
        <v>4</v>
      </c>
      <c r="P7" s="54"/>
    </row>
    <row r="8" spans="1:16" ht="11.25">
      <c r="A8" s="6"/>
      <c r="B8" s="6"/>
      <c r="C8" s="7" t="s">
        <v>5</v>
      </c>
      <c r="D8" s="6" t="s">
        <v>6</v>
      </c>
      <c r="E8" s="8" t="s">
        <v>7</v>
      </c>
      <c r="F8" s="9" t="s">
        <v>8</v>
      </c>
      <c r="G8" s="7" t="s">
        <v>5</v>
      </c>
      <c r="H8" s="6" t="s">
        <v>6</v>
      </c>
      <c r="I8" s="6" t="s">
        <v>7</v>
      </c>
      <c r="J8" s="6" t="s">
        <v>8</v>
      </c>
      <c r="K8" s="10" t="s">
        <v>5</v>
      </c>
      <c r="L8" s="6" t="s">
        <v>6</v>
      </c>
      <c r="M8" s="6" t="s">
        <v>7</v>
      </c>
      <c r="N8" s="7" t="s">
        <v>8</v>
      </c>
      <c r="O8" s="11" t="s">
        <v>9</v>
      </c>
      <c r="P8" s="11" t="s">
        <v>10</v>
      </c>
    </row>
    <row r="9" spans="1:16" ht="11.25">
      <c r="A9" s="12" t="s">
        <v>11</v>
      </c>
      <c r="B9" s="12"/>
      <c r="C9" s="12"/>
      <c r="D9" s="12"/>
      <c r="E9" s="13"/>
      <c r="F9" s="14"/>
      <c r="G9" s="12"/>
      <c r="H9" s="12"/>
      <c r="I9" s="12"/>
      <c r="J9" s="15"/>
      <c r="K9" s="16"/>
      <c r="L9" s="17"/>
      <c r="M9" s="17"/>
      <c r="N9" s="17"/>
      <c r="O9" s="15"/>
      <c r="P9" s="15"/>
    </row>
    <row r="10" spans="1:16" ht="11.25">
      <c r="A10" s="2" t="s">
        <v>12</v>
      </c>
      <c r="C10" s="18">
        <v>163781</v>
      </c>
      <c r="D10" s="18">
        <v>188698</v>
      </c>
      <c r="E10" s="19">
        <v>174611</v>
      </c>
      <c r="F10" s="20">
        <v>202153</v>
      </c>
      <c r="G10" s="18">
        <v>211074</v>
      </c>
      <c r="H10" s="18">
        <v>227194</v>
      </c>
      <c r="I10" s="18">
        <v>208175</v>
      </c>
      <c r="J10" s="18">
        <v>260541</v>
      </c>
      <c r="K10" s="21">
        <v>281407</v>
      </c>
      <c r="L10" s="19">
        <v>332195</v>
      </c>
      <c r="M10" s="19">
        <v>292541</v>
      </c>
      <c r="N10" s="19">
        <v>337755</v>
      </c>
      <c r="O10" s="18">
        <v>348914</v>
      </c>
      <c r="P10" s="18">
        <v>464344</v>
      </c>
    </row>
    <row r="11" spans="1:16" ht="11.25">
      <c r="A11" s="2" t="s">
        <v>13</v>
      </c>
      <c r="C11" s="18">
        <v>19979</v>
      </c>
      <c r="D11" s="18">
        <v>17528</v>
      </c>
      <c r="E11" s="19">
        <v>4083</v>
      </c>
      <c r="F11" s="20">
        <v>26090</v>
      </c>
      <c r="G11" s="18">
        <v>22623</v>
      </c>
      <c r="H11" s="18">
        <v>11596</v>
      </c>
      <c r="I11" s="18">
        <v>21119</v>
      </c>
      <c r="J11" s="18">
        <v>20051</v>
      </c>
      <c r="K11" s="21">
        <v>29487</v>
      </c>
      <c r="L11" s="19">
        <v>32474</v>
      </c>
      <c r="M11" s="19">
        <v>14415</v>
      </c>
      <c r="N11" s="19">
        <v>20097</v>
      </c>
      <c r="O11" s="18">
        <v>27692</v>
      </c>
      <c r="P11" s="18">
        <v>33368</v>
      </c>
    </row>
    <row r="12" spans="1:16" ht="11.25">
      <c r="A12" s="2" t="s">
        <v>14</v>
      </c>
      <c r="C12" s="19">
        <f aca="true" t="shared" si="0" ref="C12:P12">C13+C14</f>
        <v>142945</v>
      </c>
      <c r="D12" s="19">
        <f t="shared" si="0"/>
        <v>170215</v>
      </c>
      <c r="E12" s="19">
        <f t="shared" si="0"/>
        <v>169506</v>
      </c>
      <c r="F12" s="20">
        <f t="shared" si="0"/>
        <v>174895</v>
      </c>
      <c r="G12" s="18">
        <f t="shared" si="0"/>
        <v>187161</v>
      </c>
      <c r="H12" s="18">
        <f t="shared" si="0"/>
        <v>214096</v>
      </c>
      <c r="I12" s="18">
        <f t="shared" si="0"/>
        <v>185449</v>
      </c>
      <c r="J12" s="18">
        <f t="shared" si="0"/>
        <v>238229</v>
      </c>
      <c r="K12" s="21">
        <f t="shared" si="0"/>
        <v>249314</v>
      </c>
      <c r="L12" s="19">
        <f t="shared" si="0"/>
        <v>296522</v>
      </c>
      <c r="M12" s="19">
        <f t="shared" si="0"/>
        <v>275777</v>
      </c>
      <c r="N12" s="19">
        <f t="shared" si="0"/>
        <v>314709</v>
      </c>
      <c r="O12" s="18">
        <f t="shared" si="0"/>
        <v>317831</v>
      </c>
      <c r="P12" s="18">
        <f t="shared" si="0"/>
        <v>426457</v>
      </c>
    </row>
    <row r="13" spans="2:16" ht="11.25">
      <c r="B13" s="2" t="s">
        <v>15</v>
      </c>
      <c r="C13" s="18">
        <v>2910</v>
      </c>
      <c r="D13" s="18">
        <v>2926</v>
      </c>
      <c r="E13" s="19">
        <v>2463</v>
      </c>
      <c r="F13" s="20">
        <v>1895</v>
      </c>
      <c r="G13" s="18">
        <v>3096</v>
      </c>
      <c r="H13" s="18">
        <v>1447</v>
      </c>
      <c r="I13" s="18">
        <v>1065</v>
      </c>
      <c r="J13" s="18">
        <v>290</v>
      </c>
      <c r="K13" s="21">
        <v>1053</v>
      </c>
      <c r="L13" s="19">
        <v>3100</v>
      </c>
      <c r="M13" s="19">
        <v>3296</v>
      </c>
      <c r="N13" s="19">
        <v>3130</v>
      </c>
      <c r="O13" s="18">
        <v>4452</v>
      </c>
      <c r="P13" s="18">
        <v>2905</v>
      </c>
    </row>
    <row r="14" spans="2:16" ht="11.25">
      <c r="B14" s="2" t="s">
        <v>16</v>
      </c>
      <c r="C14" s="18">
        <v>140035</v>
      </c>
      <c r="D14" s="18">
        <v>167289</v>
      </c>
      <c r="E14" s="19">
        <v>167043</v>
      </c>
      <c r="F14" s="20">
        <v>173000</v>
      </c>
      <c r="G14" s="18">
        <v>184065</v>
      </c>
      <c r="H14" s="18">
        <v>212649</v>
      </c>
      <c r="I14" s="18">
        <v>184384</v>
      </c>
      <c r="J14" s="18">
        <v>237939</v>
      </c>
      <c r="K14" s="21">
        <v>248261</v>
      </c>
      <c r="L14" s="19">
        <v>293422</v>
      </c>
      <c r="M14" s="19">
        <v>272481</v>
      </c>
      <c r="N14" s="19">
        <v>311579</v>
      </c>
      <c r="O14" s="18">
        <v>313379</v>
      </c>
      <c r="P14" s="18">
        <v>423552</v>
      </c>
    </row>
    <row r="15" spans="1:16" ht="11.25">
      <c r="A15" s="2" t="s">
        <v>17</v>
      </c>
      <c r="C15" s="18">
        <v>0</v>
      </c>
      <c r="D15" s="18">
        <v>0</v>
      </c>
      <c r="E15" s="19">
        <v>0</v>
      </c>
      <c r="F15" s="20">
        <v>0</v>
      </c>
      <c r="G15" s="18">
        <v>0</v>
      </c>
      <c r="H15" s="18">
        <v>0</v>
      </c>
      <c r="I15" s="18">
        <v>0</v>
      </c>
      <c r="J15" s="18">
        <v>0</v>
      </c>
      <c r="K15" s="21">
        <v>0</v>
      </c>
      <c r="L15" s="19">
        <v>0</v>
      </c>
      <c r="M15" s="19">
        <v>0</v>
      </c>
      <c r="N15" s="19">
        <v>0</v>
      </c>
      <c r="O15" s="18">
        <v>0</v>
      </c>
      <c r="P15" s="18">
        <v>0</v>
      </c>
    </row>
    <row r="16" spans="1:16" ht="11.25">
      <c r="A16" s="2" t="s">
        <v>18</v>
      </c>
      <c r="C16" s="19">
        <f aca="true" t="shared" si="1" ref="C16:P16">C17+C21</f>
        <v>149851</v>
      </c>
      <c r="D16" s="19">
        <f t="shared" si="1"/>
        <v>174867</v>
      </c>
      <c r="E16" s="19">
        <f t="shared" si="1"/>
        <v>160232</v>
      </c>
      <c r="F16" s="20">
        <f t="shared" si="1"/>
        <v>188743</v>
      </c>
      <c r="G16" s="18">
        <f t="shared" si="1"/>
        <v>197601</v>
      </c>
      <c r="H16" s="18">
        <f t="shared" si="1"/>
        <v>214614</v>
      </c>
      <c r="I16" s="18">
        <f t="shared" si="1"/>
        <v>195894</v>
      </c>
      <c r="J16" s="18">
        <f t="shared" si="1"/>
        <v>245686</v>
      </c>
      <c r="K16" s="21">
        <f t="shared" si="1"/>
        <v>266587</v>
      </c>
      <c r="L16" s="19">
        <f t="shared" si="1"/>
        <v>317458</v>
      </c>
      <c r="M16" s="19">
        <f t="shared" si="1"/>
        <v>279161</v>
      </c>
      <c r="N16" s="19">
        <f t="shared" si="1"/>
        <v>322612</v>
      </c>
      <c r="O16" s="18">
        <f t="shared" si="1"/>
        <v>334029</v>
      </c>
      <c r="P16" s="18">
        <f t="shared" si="1"/>
        <v>457667</v>
      </c>
    </row>
    <row r="17" spans="2:16" ht="11.25">
      <c r="B17" s="2" t="s">
        <v>15</v>
      </c>
      <c r="C17" s="19">
        <f aca="true" t="shared" si="2" ref="C17:P17">SUM(C18:C20)</f>
        <v>8544</v>
      </c>
      <c r="D17" s="19">
        <f t="shared" si="2"/>
        <v>8005</v>
      </c>
      <c r="E17" s="19">
        <f t="shared" si="2"/>
        <v>2311</v>
      </c>
      <c r="F17" s="20">
        <f t="shared" si="2"/>
        <v>2445</v>
      </c>
      <c r="G17" s="18">
        <f t="shared" si="2"/>
        <v>5114</v>
      </c>
      <c r="H17" s="18">
        <f t="shared" si="2"/>
        <v>3102</v>
      </c>
      <c r="I17" s="18">
        <f t="shared" si="2"/>
        <v>3869</v>
      </c>
      <c r="J17" s="18">
        <f t="shared" si="2"/>
        <v>3189</v>
      </c>
      <c r="K17" s="21">
        <f t="shared" si="2"/>
        <v>3408</v>
      </c>
      <c r="L17" s="19">
        <f t="shared" si="2"/>
        <v>3153</v>
      </c>
      <c r="M17" s="19">
        <f t="shared" si="2"/>
        <v>2597</v>
      </c>
      <c r="N17" s="19">
        <f t="shared" si="2"/>
        <v>4389</v>
      </c>
      <c r="O17" s="18">
        <f t="shared" si="2"/>
        <v>5398</v>
      </c>
      <c r="P17" s="18">
        <f t="shared" si="2"/>
        <v>4156</v>
      </c>
    </row>
    <row r="18" spans="2:16" ht="11.25">
      <c r="B18" s="2" t="s">
        <v>19</v>
      </c>
      <c r="C18" s="18">
        <v>0</v>
      </c>
      <c r="D18" s="18"/>
      <c r="E18" s="19">
        <v>0</v>
      </c>
      <c r="F18" s="20">
        <v>0</v>
      </c>
      <c r="G18" s="18">
        <v>0</v>
      </c>
      <c r="H18" s="18">
        <v>0</v>
      </c>
      <c r="I18" s="18">
        <v>0</v>
      </c>
      <c r="J18" s="18">
        <v>0</v>
      </c>
      <c r="K18" s="21">
        <v>0</v>
      </c>
      <c r="L18" s="19">
        <v>0</v>
      </c>
      <c r="M18" s="19">
        <v>0</v>
      </c>
      <c r="N18" s="19">
        <v>0</v>
      </c>
      <c r="O18" s="18">
        <v>0</v>
      </c>
      <c r="P18" s="18">
        <v>0</v>
      </c>
    </row>
    <row r="19" spans="2:16" ht="11.25">
      <c r="B19" s="2" t="s">
        <v>20</v>
      </c>
      <c r="C19" s="18">
        <v>8544</v>
      </c>
      <c r="D19" s="18">
        <v>3004</v>
      </c>
      <c r="E19" s="19">
        <v>2311</v>
      </c>
      <c r="F19" s="20">
        <f>1098+1347</f>
        <v>2445</v>
      </c>
      <c r="G19" s="18">
        <f>1144+3970</f>
        <v>5114</v>
      </c>
      <c r="H19" s="18">
        <v>3102</v>
      </c>
      <c r="I19" s="18">
        <v>3869</v>
      </c>
      <c r="J19" s="18">
        <v>3189</v>
      </c>
      <c r="K19" s="21">
        <v>3408</v>
      </c>
      <c r="L19" s="19">
        <v>3153</v>
      </c>
      <c r="M19" s="19">
        <v>2597</v>
      </c>
      <c r="N19" s="19">
        <v>4389</v>
      </c>
      <c r="O19" s="18">
        <v>5398</v>
      </c>
      <c r="P19" s="18">
        <v>4156</v>
      </c>
    </row>
    <row r="20" spans="2:16" ht="11.25">
      <c r="B20" s="2" t="s">
        <v>21</v>
      </c>
      <c r="C20" s="18">
        <v>0</v>
      </c>
      <c r="D20" s="18">
        <v>5001</v>
      </c>
      <c r="E20" s="19">
        <v>0</v>
      </c>
      <c r="F20" s="20">
        <v>0</v>
      </c>
      <c r="G20" s="18">
        <v>0</v>
      </c>
      <c r="H20" s="18">
        <v>0</v>
      </c>
      <c r="I20" s="18">
        <v>0</v>
      </c>
      <c r="J20" s="18">
        <v>0</v>
      </c>
      <c r="K20" s="21">
        <v>0</v>
      </c>
      <c r="L20" s="19">
        <v>0</v>
      </c>
      <c r="M20" s="19">
        <v>0</v>
      </c>
      <c r="N20" s="19">
        <v>0</v>
      </c>
      <c r="O20" s="18">
        <v>0</v>
      </c>
      <c r="P20" s="18">
        <v>0</v>
      </c>
    </row>
    <row r="21" spans="2:16" ht="11.25">
      <c r="B21" s="2" t="s">
        <v>16</v>
      </c>
      <c r="C21" s="19">
        <f>SUM(C22:C24)</f>
        <v>141307</v>
      </c>
      <c r="D21" s="19">
        <f aca="true" t="shared" si="3" ref="D21:P21">SUM(D23:D24)</f>
        <v>166862</v>
      </c>
      <c r="E21" s="19">
        <f t="shared" si="3"/>
        <v>157921</v>
      </c>
      <c r="F21" s="20">
        <f t="shared" si="3"/>
        <v>186298</v>
      </c>
      <c r="G21" s="18">
        <f t="shared" si="3"/>
        <v>192487</v>
      </c>
      <c r="H21" s="18">
        <f t="shared" si="3"/>
        <v>211512</v>
      </c>
      <c r="I21" s="18">
        <f t="shared" si="3"/>
        <v>192025</v>
      </c>
      <c r="J21" s="18">
        <f t="shared" si="3"/>
        <v>242497</v>
      </c>
      <c r="K21" s="21">
        <f t="shared" si="3"/>
        <v>263179</v>
      </c>
      <c r="L21" s="19">
        <f t="shared" si="3"/>
        <v>314305</v>
      </c>
      <c r="M21" s="19">
        <f t="shared" si="3"/>
        <v>276564</v>
      </c>
      <c r="N21" s="19">
        <f t="shared" si="3"/>
        <v>318223</v>
      </c>
      <c r="O21" s="18">
        <f t="shared" si="3"/>
        <v>328631</v>
      </c>
      <c r="P21" s="18">
        <f t="shared" si="3"/>
        <v>453511</v>
      </c>
    </row>
    <row r="22" spans="2:16" ht="11.25">
      <c r="B22" s="2" t="s">
        <v>19</v>
      </c>
      <c r="C22" s="19">
        <v>0</v>
      </c>
      <c r="D22" s="19">
        <v>0</v>
      </c>
      <c r="E22" s="19">
        <v>0</v>
      </c>
      <c r="F22" s="20">
        <v>0</v>
      </c>
      <c r="G22" s="18">
        <v>0</v>
      </c>
      <c r="H22" s="18">
        <v>0</v>
      </c>
      <c r="I22" s="18">
        <v>0</v>
      </c>
      <c r="J22" s="18">
        <v>0</v>
      </c>
      <c r="K22" s="21">
        <v>0</v>
      </c>
      <c r="L22" s="19">
        <v>0</v>
      </c>
      <c r="M22" s="19">
        <v>0</v>
      </c>
      <c r="N22" s="19">
        <v>0</v>
      </c>
      <c r="O22" s="18"/>
      <c r="P22" s="18"/>
    </row>
    <row r="23" spans="2:16" ht="11.25">
      <c r="B23" s="2" t="s">
        <v>20</v>
      </c>
      <c r="C23" s="18">
        <v>12225</v>
      </c>
      <c r="D23" s="18">
        <v>12236</v>
      </c>
      <c r="E23" s="19">
        <v>6095</v>
      </c>
      <c r="F23" s="20">
        <f>3236+4938</f>
        <v>8174</v>
      </c>
      <c r="G23" s="18">
        <f>1587+3964</f>
        <v>5551</v>
      </c>
      <c r="H23" s="18">
        <v>19413</v>
      </c>
      <c r="I23" s="18">
        <v>7267</v>
      </c>
      <c r="J23" s="18">
        <v>20175</v>
      </c>
      <c r="K23" s="21">
        <v>26428</v>
      </c>
      <c r="L23" s="19">
        <v>29865</v>
      </c>
      <c r="M23" s="19">
        <v>12011</v>
      </c>
      <c r="N23" s="19">
        <v>16147</v>
      </c>
      <c r="O23" s="18">
        <v>22065</v>
      </c>
      <c r="P23" s="18">
        <v>29301</v>
      </c>
    </row>
    <row r="24" spans="2:16" ht="11.25">
      <c r="B24" s="2" t="s">
        <v>21</v>
      </c>
      <c r="C24" s="18">
        <v>129082</v>
      </c>
      <c r="D24" s="18">
        <v>154626</v>
      </c>
      <c r="E24" s="19">
        <v>151826</v>
      </c>
      <c r="F24" s="20">
        <v>178124</v>
      </c>
      <c r="G24" s="18">
        <v>186936</v>
      </c>
      <c r="H24" s="18">
        <v>192099</v>
      </c>
      <c r="I24" s="18">
        <v>184758</v>
      </c>
      <c r="J24" s="18">
        <v>222322</v>
      </c>
      <c r="K24" s="21">
        <v>236751</v>
      </c>
      <c r="L24" s="19">
        <v>284440</v>
      </c>
      <c r="M24" s="19">
        <v>264553</v>
      </c>
      <c r="N24" s="19">
        <v>302076</v>
      </c>
      <c r="O24" s="18">
        <v>306566</v>
      </c>
      <c r="P24" s="18">
        <v>424210</v>
      </c>
    </row>
    <row r="25" spans="1:16" ht="11.25">
      <c r="A25" s="3" t="s">
        <v>22</v>
      </c>
      <c r="B25" s="3"/>
      <c r="C25" s="22">
        <v>12016</v>
      </c>
      <c r="D25" s="22">
        <v>11475</v>
      </c>
      <c r="E25" s="22">
        <v>12071</v>
      </c>
      <c r="F25" s="23">
        <v>10956</v>
      </c>
      <c r="G25" s="22">
        <v>10727</v>
      </c>
      <c r="H25" s="22">
        <v>10309</v>
      </c>
      <c r="I25" s="22">
        <v>10102</v>
      </c>
      <c r="J25" s="22">
        <v>12926</v>
      </c>
      <c r="K25" s="24">
        <v>12586</v>
      </c>
      <c r="L25" s="22">
        <v>11989</v>
      </c>
      <c r="M25" s="22">
        <v>11359</v>
      </c>
      <c r="N25" s="22">
        <v>12575</v>
      </c>
      <c r="O25" s="22">
        <v>12100</v>
      </c>
      <c r="P25" s="22">
        <v>2732</v>
      </c>
    </row>
    <row r="26" spans="1:16" ht="11.25">
      <c r="A26" s="12" t="s">
        <v>23</v>
      </c>
      <c r="E26" s="19"/>
      <c r="F26" s="25"/>
      <c r="H26" s="18"/>
      <c r="J26" s="18"/>
      <c r="K26" s="21"/>
      <c r="L26" s="19"/>
      <c r="M26" s="19"/>
      <c r="N26" s="19"/>
      <c r="O26" s="18"/>
      <c r="P26" s="18"/>
    </row>
    <row r="27" spans="1:16" ht="11.25">
      <c r="A27" s="2" t="s">
        <v>12</v>
      </c>
      <c r="C27" s="19">
        <f aca="true" t="shared" si="4" ref="C27:J27">(C10+G10)/2</f>
        <v>187427.5</v>
      </c>
      <c r="D27" s="19">
        <f t="shared" si="4"/>
        <v>207946</v>
      </c>
      <c r="E27" s="19">
        <f t="shared" si="4"/>
        <v>191393</v>
      </c>
      <c r="F27" s="20">
        <f t="shared" si="4"/>
        <v>231347</v>
      </c>
      <c r="G27" s="18">
        <f t="shared" si="4"/>
        <v>246240.5</v>
      </c>
      <c r="H27" s="18">
        <f t="shared" si="4"/>
        <v>279694.5</v>
      </c>
      <c r="I27" s="18">
        <f t="shared" si="4"/>
        <v>250358</v>
      </c>
      <c r="J27" s="18">
        <f t="shared" si="4"/>
        <v>299148</v>
      </c>
      <c r="K27" s="21">
        <f>(K10+348914)/2</f>
        <v>315160.5</v>
      </c>
      <c r="L27" s="19">
        <f>(L10+360227)/2</f>
        <v>346211</v>
      </c>
      <c r="M27" s="19">
        <f>(M10+345237)/2</f>
        <v>318889</v>
      </c>
      <c r="N27" s="19">
        <f>(N10+443075)/2</f>
        <v>390415</v>
      </c>
      <c r="O27" s="18">
        <f>(O10+P10)/2</f>
        <v>406629</v>
      </c>
      <c r="P27" s="18">
        <f>(P10+509474)/2</f>
        <v>486909</v>
      </c>
    </row>
    <row r="28" spans="1:16" ht="11.25">
      <c r="A28" s="2" t="s">
        <v>24</v>
      </c>
      <c r="C28" s="19">
        <f aca="true" t="shared" si="5" ref="C28:P28">C29+C30</f>
        <v>165053</v>
      </c>
      <c r="D28" s="19">
        <f t="shared" si="5"/>
        <v>192155.5</v>
      </c>
      <c r="E28" s="19">
        <f t="shared" si="5"/>
        <v>177477.5</v>
      </c>
      <c r="F28" s="20">
        <f t="shared" si="5"/>
        <v>206562</v>
      </c>
      <c r="G28" s="18">
        <f t="shared" si="5"/>
        <v>218237.5</v>
      </c>
      <c r="H28" s="18">
        <f t="shared" si="5"/>
        <v>255309</v>
      </c>
      <c r="I28" s="18">
        <f t="shared" si="5"/>
        <v>230613</v>
      </c>
      <c r="J28" s="18">
        <f t="shared" si="5"/>
        <v>276469</v>
      </c>
      <c r="K28" s="21">
        <f t="shared" si="5"/>
        <v>283572.5</v>
      </c>
      <c r="L28" s="19">
        <f t="shared" si="5"/>
        <v>312292.5</v>
      </c>
      <c r="M28" s="19">
        <f t="shared" si="5"/>
        <v>300601</v>
      </c>
      <c r="N28" s="19">
        <f t="shared" si="5"/>
        <v>365310.5</v>
      </c>
      <c r="O28" s="18">
        <f t="shared" si="5"/>
        <v>372144</v>
      </c>
      <c r="P28" s="18">
        <f t="shared" si="5"/>
        <v>456164.5</v>
      </c>
    </row>
    <row r="29" spans="2:16" ht="11.25">
      <c r="B29" s="2" t="s">
        <v>14</v>
      </c>
      <c r="C29" s="19">
        <f aca="true" t="shared" si="6" ref="C29:K29">(C12+G12)/2</f>
        <v>165053</v>
      </c>
      <c r="D29" s="19">
        <f t="shared" si="6"/>
        <v>192155.5</v>
      </c>
      <c r="E29" s="19">
        <f t="shared" si="6"/>
        <v>177477.5</v>
      </c>
      <c r="F29" s="20">
        <f t="shared" si="6"/>
        <v>206562</v>
      </c>
      <c r="G29" s="18">
        <f t="shared" si="6"/>
        <v>218237.5</v>
      </c>
      <c r="H29" s="18">
        <f t="shared" si="6"/>
        <v>255309</v>
      </c>
      <c r="I29" s="18">
        <f t="shared" si="6"/>
        <v>230613</v>
      </c>
      <c r="J29" s="18">
        <f t="shared" si="6"/>
        <v>276469</v>
      </c>
      <c r="K29" s="21">
        <f t="shared" si="6"/>
        <v>283572.5</v>
      </c>
      <c r="L29" s="19">
        <f>(L12+328063)/2</f>
        <v>312292.5</v>
      </c>
      <c r="M29" s="19">
        <f>(M12+325425)/2</f>
        <v>300601</v>
      </c>
      <c r="N29" s="19">
        <f>(N12+415912)/2</f>
        <v>365310.5</v>
      </c>
      <c r="O29" s="18">
        <f>(O12+P12)/2</f>
        <v>372144</v>
      </c>
      <c r="P29" s="18">
        <f>(426457+485872)/2</f>
        <v>456164.5</v>
      </c>
    </row>
    <row r="30" spans="2:16" ht="11.25">
      <c r="B30" s="2" t="s">
        <v>17</v>
      </c>
      <c r="C30" s="19">
        <f aca="true" t="shared" si="7" ref="C30:K30">(C15+G15)/2</f>
        <v>0</v>
      </c>
      <c r="D30" s="19">
        <f t="shared" si="7"/>
        <v>0</v>
      </c>
      <c r="E30" s="19">
        <f t="shared" si="7"/>
        <v>0</v>
      </c>
      <c r="F30" s="20">
        <f t="shared" si="7"/>
        <v>0</v>
      </c>
      <c r="G30" s="18">
        <f t="shared" si="7"/>
        <v>0</v>
      </c>
      <c r="H30" s="18">
        <f t="shared" si="7"/>
        <v>0</v>
      </c>
      <c r="I30" s="18">
        <f t="shared" si="7"/>
        <v>0</v>
      </c>
      <c r="J30" s="18">
        <f t="shared" si="7"/>
        <v>0</v>
      </c>
      <c r="K30" s="21">
        <f t="shared" si="7"/>
        <v>0</v>
      </c>
      <c r="L30" s="19">
        <v>0</v>
      </c>
      <c r="M30" s="19">
        <v>0</v>
      </c>
      <c r="N30" s="19">
        <v>0</v>
      </c>
      <c r="O30" s="18">
        <v>0</v>
      </c>
      <c r="P30" s="18">
        <v>0</v>
      </c>
    </row>
    <row r="31" spans="1:16" ht="11.25">
      <c r="A31" s="3" t="s">
        <v>22</v>
      </c>
      <c r="B31" s="3"/>
      <c r="C31" s="22">
        <f aca="true" t="shared" si="8" ref="C31:K31">(C25+G25)/2</f>
        <v>11371.5</v>
      </c>
      <c r="D31" s="22">
        <f t="shared" si="8"/>
        <v>10892</v>
      </c>
      <c r="E31" s="22">
        <f t="shared" si="8"/>
        <v>11086.5</v>
      </c>
      <c r="F31" s="23">
        <f t="shared" si="8"/>
        <v>11941</v>
      </c>
      <c r="G31" s="22">
        <f t="shared" si="8"/>
        <v>11656.5</v>
      </c>
      <c r="H31" s="22">
        <f t="shared" si="8"/>
        <v>11149</v>
      </c>
      <c r="I31" s="22">
        <f t="shared" si="8"/>
        <v>10730.5</v>
      </c>
      <c r="J31" s="22">
        <f t="shared" si="8"/>
        <v>12750.5</v>
      </c>
      <c r="K31" s="24">
        <f t="shared" si="8"/>
        <v>12343</v>
      </c>
      <c r="L31" s="22">
        <f>(L25+11597)/2</f>
        <v>11793</v>
      </c>
      <c r="M31" s="22">
        <f>(M25+11094)/2</f>
        <v>11226.5</v>
      </c>
      <c r="N31" s="22">
        <f>(N25+2892)/2</f>
        <v>7733.5</v>
      </c>
      <c r="O31" s="22">
        <f>(O25+P25)/2</f>
        <v>7416</v>
      </c>
      <c r="P31" s="22">
        <f>(2732+3449)/2</f>
        <v>3090.5</v>
      </c>
    </row>
    <row r="32" spans="1:14" ht="11.25">
      <c r="A32" s="12" t="s">
        <v>25</v>
      </c>
      <c r="E32" s="19"/>
      <c r="F32" s="25"/>
      <c r="H32" s="18"/>
      <c r="J32" s="18"/>
      <c r="K32" s="26"/>
      <c r="L32" s="4"/>
      <c r="M32" s="4"/>
      <c r="N32" s="4"/>
    </row>
    <row r="33" spans="1:16" ht="11.25">
      <c r="A33" s="2" t="s">
        <v>26</v>
      </c>
      <c r="C33" s="18">
        <v>5311</v>
      </c>
      <c r="D33" s="18">
        <v>4102</v>
      </c>
      <c r="E33" s="19">
        <v>2808</v>
      </c>
      <c r="F33" s="27">
        <v>1496</v>
      </c>
      <c r="G33" s="28">
        <v>11251</v>
      </c>
      <c r="H33" s="18">
        <f>I33+2475</f>
        <v>9388</v>
      </c>
      <c r="I33" s="18">
        <f>J33+3025</f>
        <v>6913</v>
      </c>
      <c r="J33" s="18">
        <v>3888</v>
      </c>
      <c r="K33" s="21">
        <f>4834+L33</f>
        <v>19721</v>
      </c>
      <c r="L33" s="19">
        <f>5157+M33</f>
        <v>14887</v>
      </c>
      <c r="M33" s="19">
        <f>4880+N33</f>
        <v>9730</v>
      </c>
      <c r="N33" s="19">
        <v>4850</v>
      </c>
      <c r="O33" s="18">
        <v>42632</v>
      </c>
      <c r="P33" s="18">
        <v>26458</v>
      </c>
    </row>
    <row r="34" spans="1:16" ht="11.25">
      <c r="A34" s="2" t="s">
        <v>27</v>
      </c>
      <c r="C34" s="18">
        <v>3665</v>
      </c>
      <c r="D34" s="18">
        <v>2862</v>
      </c>
      <c r="E34" s="19">
        <v>1995</v>
      </c>
      <c r="F34" s="27">
        <v>1115</v>
      </c>
      <c r="G34" s="28">
        <v>9486</v>
      </c>
      <c r="H34" s="18">
        <f>I34+2023</f>
        <v>8052</v>
      </c>
      <c r="I34" s="18">
        <f>J34+2522</f>
        <v>6029</v>
      </c>
      <c r="J34" s="18">
        <v>3507</v>
      </c>
      <c r="K34" s="21">
        <f>4364+L34</f>
        <v>17910</v>
      </c>
      <c r="L34" s="19">
        <f>4630+M34</f>
        <v>13546</v>
      </c>
      <c r="M34" s="19">
        <f>4469+N34</f>
        <v>8916</v>
      </c>
      <c r="N34" s="19">
        <v>4447</v>
      </c>
      <c r="O34" s="18">
        <v>39444</v>
      </c>
      <c r="P34" s="18">
        <v>25540</v>
      </c>
    </row>
    <row r="35" spans="1:16" ht="11.25">
      <c r="A35" s="2" t="s">
        <v>28</v>
      </c>
      <c r="C35" s="19">
        <f aca="true" t="shared" si="9" ref="C35:P35">C33-C34</f>
        <v>1646</v>
      </c>
      <c r="D35" s="19">
        <f t="shared" si="9"/>
        <v>1240</v>
      </c>
      <c r="E35" s="19">
        <f t="shared" si="9"/>
        <v>813</v>
      </c>
      <c r="F35" s="20">
        <f t="shared" si="9"/>
        <v>381</v>
      </c>
      <c r="G35" s="18">
        <f t="shared" si="9"/>
        <v>1765</v>
      </c>
      <c r="H35" s="18">
        <f t="shared" si="9"/>
        <v>1336</v>
      </c>
      <c r="I35" s="18">
        <f t="shared" si="9"/>
        <v>884</v>
      </c>
      <c r="J35" s="18">
        <f t="shared" si="9"/>
        <v>381</v>
      </c>
      <c r="K35" s="21">
        <f t="shared" si="9"/>
        <v>1811</v>
      </c>
      <c r="L35" s="19">
        <f t="shared" si="9"/>
        <v>1341</v>
      </c>
      <c r="M35" s="19">
        <f t="shared" si="9"/>
        <v>814</v>
      </c>
      <c r="N35" s="19">
        <f t="shared" si="9"/>
        <v>403</v>
      </c>
      <c r="O35" s="18">
        <f t="shared" si="9"/>
        <v>3188</v>
      </c>
      <c r="P35" s="18">
        <f t="shared" si="9"/>
        <v>918</v>
      </c>
    </row>
    <row r="36" spans="1:16" ht="11.25">
      <c r="A36" s="2" t="s">
        <v>29</v>
      </c>
      <c r="C36" s="18">
        <v>722</v>
      </c>
      <c r="D36" s="18">
        <v>377</v>
      </c>
      <c r="E36" s="19">
        <v>322</v>
      </c>
      <c r="F36" s="27">
        <v>195</v>
      </c>
      <c r="G36" s="28">
        <v>551</v>
      </c>
      <c r="H36" s="18">
        <f>I36+134</f>
        <v>501</v>
      </c>
      <c r="I36" s="18">
        <f>J36+52</f>
        <v>367</v>
      </c>
      <c r="J36" s="18">
        <v>315</v>
      </c>
      <c r="K36" s="21">
        <f>349+L36</f>
        <v>1596</v>
      </c>
      <c r="L36" s="19">
        <f>339+M36</f>
        <v>1247</v>
      </c>
      <c r="M36" s="19">
        <f>419+N36</f>
        <v>908</v>
      </c>
      <c r="N36" s="19">
        <v>489</v>
      </c>
      <c r="O36" s="18">
        <v>1369</v>
      </c>
      <c r="P36" s="18">
        <v>1483</v>
      </c>
    </row>
    <row r="37" spans="1:16" ht="11.25">
      <c r="A37" s="2" t="s">
        <v>30</v>
      </c>
      <c r="C37" s="19">
        <f aca="true" t="shared" si="10" ref="C37:I37">C35+C36</f>
        <v>2368</v>
      </c>
      <c r="D37" s="19">
        <f t="shared" si="10"/>
        <v>1617</v>
      </c>
      <c r="E37" s="19">
        <f t="shared" si="10"/>
        <v>1135</v>
      </c>
      <c r="F37" s="20">
        <f t="shared" si="10"/>
        <v>576</v>
      </c>
      <c r="G37" s="18">
        <f t="shared" si="10"/>
        <v>2316</v>
      </c>
      <c r="H37" s="18">
        <f t="shared" si="10"/>
        <v>1837</v>
      </c>
      <c r="I37" s="18">
        <f t="shared" si="10"/>
        <v>1251</v>
      </c>
      <c r="J37" s="18">
        <v>695</v>
      </c>
      <c r="K37" s="21">
        <f aca="true" t="shared" si="11" ref="K37:P37">K35+K36</f>
        <v>3407</v>
      </c>
      <c r="L37" s="19">
        <f t="shared" si="11"/>
        <v>2588</v>
      </c>
      <c r="M37" s="19">
        <f t="shared" si="11"/>
        <v>1722</v>
      </c>
      <c r="N37" s="19">
        <f t="shared" si="11"/>
        <v>892</v>
      </c>
      <c r="O37" s="18">
        <f t="shared" si="11"/>
        <v>4557</v>
      </c>
      <c r="P37" s="18">
        <f t="shared" si="11"/>
        <v>2401</v>
      </c>
    </row>
    <row r="38" spans="1:16" ht="11.25">
      <c r="A38" s="2" t="s">
        <v>31</v>
      </c>
      <c r="C38" s="18">
        <v>1122</v>
      </c>
      <c r="D38" s="18">
        <v>912</v>
      </c>
      <c r="E38" s="19">
        <v>609</v>
      </c>
      <c r="F38" s="27">
        <v>347</v>
      </c>
      <c r="G38" s="28">
        <v>1088</v>
      </c>
      <c r="H38" s="18">
        <f>I38+217</f>
        <v>827</v>
      </c>
      <c r="I38" s="18">
        <f>J38+255</f>
        <v>610</v>
      </c>
      <c r="J38" s="18">
        <v>355</v>
      </c>
      <c r="K38" s="21">
        <f>221+L38</f>
        <v>1112</v>
      </c>
      <c r="L38" s="19">
        <f>233+M38</f>
        <v>891</v>
      </c>
      <c r="M38" s="19">
        <f>244+N38</f>
        <v>658</v>
      </c>
      <c r="N38" s="19">
        <v>414</v>
      </c>
      <c r="O38" s="18">
        <v>2115</v>
      </c>
      <c r="P38" s="18">
        <v>1283</v>
      </c>
    </row>
    <row r="39" spans="1:16" ht="11.25">
      <c r="A39" s="2" t="s">
        <v>32</v>
      </c>
      <c r="C39" s="19">
        <f aca="true" t="shared" si="12" ref="C39:P39">C37-C38</f>
        <v>1246</v>
      </c>
      <c r="D39" s="19">
        <f t="shared" si="12"/>
        <v>705</v>
      </c>
      <c r="E39" s="19">
        <f t="shared" si="12"/>
        <v>526</v>
      </c>
      <c r="F39" s="20">
        <f t="shared" si="12"/>
        <v>229</v>
      </c>
      <c r="G39" s="18">
        <f t="shared" si="12"/>
        <v>1228</v>
      </c>
      <c r="H39" s="18">
        <f t="shared" si="12"/>
        <v>1010</v>
      </c>
      <c r="I39" s="18">
        <f t="shared" si="12"/>
        <v>641</v>
      </c>
      <c r="J39" s="18">
        <f t="shared" si="12"/>
        <v>340</v>
      </c>
      <c r="K39" s="21">
        <f t="shared" si="12"/>
        <v>2295</v>
      </c>
      <c r="L39" s="19">
        <f t="shared" si="12"/>
        <v>1697</v>
      </c>
      <c r="M39" s="19">
        <f t="shared" si="12"/>
        <v>1064</v>
      </c>
      <c r="N39" s="19">
        <f t="shared" si="12"/>
        <v>478</v>
      </c>
      <c r="O39" s="18">
        <f t="shared" si="12"/>
        <v>2442</v>
      </c>
      <c r="P39" s="18">
        <f t="shared" si="12"/>
        <v>1118</v>
      </c>
    </row>
    <row r="40" spans="1:16" ht="11.25">
      <c r="A40" s="3" t="s">
        <v>33</v>
      </c>
      <c r="B40" s="3"/>
      <c r="C40" s="22">
        <v>1246</v>
      </c>
      <c r="D40" s="22">
        <v>705</v>
      </c>
      <c r="E40" s="22">
        <v>526</v>
      </c>
      <c r="F40" s="23">
        <v>229</v>
      </c>
      <c r="G40" s="29">
        <v>-708</v>
      </c>
      <c r="H40" s="30">
        <f>I40+206</f>
        <v>-126</v>
      </c>
      <c r="I40" s="30">
        <f>J40-672</f>
        <v>-332</v>
      </c>
      <c r="J40" s="30">
        <v>340</v>
      </c>
      <c r="K40" s="24">
        <f>598+L40</f>
        <v>2295</v>
      </c>
      <c r="L40" s="22">
        <f>633+M40</f>
        <v>1697</v>
      </c>
      <c r="M40" s="22">
        <f>586+N40</f>
        <v>1064</v>
      </c>
      <c r="N40" s="22">
        <v>478</v>
      </c>
      <c r="O40" s="22">
        <v>2442</v>
      </c>
      <c r="P40" s="22">
        <v>576</v>
      </c>
    </row>
    <row r="41" spans="1:16" ht="11.25">
      <c r="A41" s="12" t="s">
        <v>34</v>
      </c>
      <c r="E41" s="19"/>
      <c r="F41" s="25"/>
      <c r="H41" s="18"/>
      <c r="I41" s="18"/>
      <c r="K41" s="21"/>
      <c r="L41" s="19"/>
      <c r="M41" s="19"/>
      <c r="N41" s="19"/>
      <c r="O41" s="18"/>
      <c r="P41" s="18"/>
    </row>
    <row r="42" spans="1:16" ht="11.25">
      <c r="A42" s="2" t="s">
        <v>35</v>
      </c>
      <c r="C42" s="18">
        <v>0</v>
      </c>
      <c r="D42" s="31">
        <v>0</v>
      </c>
      <c r="E42" s="19">
        <v>0</v>
      </c>
      <c r="F42" s="20">
        <v>0</v>
      </c>
      <c r="G42" s="18">
        <v>0</v>
      </c>
      <c r="H42" s="18">
        <v>0</v>
      </c>
      <c r="I42" s="18">
        <v>0</v>
      </c>
      <c r="J42" s="18">
        <v>0</v>
      </c>
      <c r="K42" s="21">
        <v>0</v>
      </c>
      <c r="L42" s="19">
        <v>0</v>
      </c>
      <c r="M42" s="19">
        <v>0</v>
      </c>
      <c r="N42" s="19">
        <v>0</v>
      </c>
      <c r="O42" s="18">
        <v>0</v>
      </c>
      <c r="P42" s="18">
        <v>0</v>
      </c>
    </row>
    <row r="43" spans="1:16" ht="11.25">
      <c r="A43" s="2" t="s">
        <v>36</v>
      </c>
      <c r="C43" s="18">
        <v>1429</v>
      </c>
      <c r="D43" s="18">
        <v>1702</v>
      </c>
      <c r="E43" s="19">
        <v>1695</v>
      </c>
      <c r="F43" s="20">
        <v>1749</v>
      </c>
      <c r="G43" s="2">
        <v>1872</v>
      </c>
      <c r="H43" s="18">
        <v>1090</v>
      </c>
      <c r="I43" s="18">
        <v>1000</v>
      </c>
      <c r="J43" s="18">
        <v>27</v>
      </c>
      <c r="K43" s="21">
        <v>27</v>
      </c>
      <c r="L43" s="19">
        <v>27</v>
      </c>
      <c r="M43" s="19">
        <v>27</v>
      </c>
      <c r="N43" s="19">
        <v>27</v>
      </c>
      <c r="O43" s="18">
        <v>27</v>
      </c>
      <c r="P43" s="18">
        <v>27</v>
      </c>
    </row>
    <row r="44" spans="1:16" ht="11.25">
      <c r="A44" s="2" t="s">
        <v>37</v>
      </c>
      <c r="C44" s="32">
        <f>C42/C12</f>
        <v>0</v>
      </c>
      <c r="D44" s="32">
        <f>D42/D12</f>
        <v>0</v>
      </c>
      <c r="E44" s="32">
        <f>E42/E12</f>
        <v>0</v>
      </c>
      <c r="F44" s="33">
        <v>0</v>
      </c>
      <c r="G44" s="34">
        <f aca="true" t="shared" si="13" ref="G44:P44">G42/G12</f>
        <v>0</v>
      </c>
      <c r="H44" s="34">
        <f t="shared" si="13"/>
        <v>0</v>
      </c>
      <c r="I44" s="34">
        <f t="shared" si="13"/>
        <v>0</v>
      </c>
      <c r="J44" s="34">
        <f t="shared" si="13"/>
        <v>0</v>
      </c>
      <c r="K44" s="35">
        <f t="shared" si="13"/>
        <v>0</v>
      </c>
      <c r="L44" s="32">
        <f t="shared" si="13"/>
        <v>0</v>
      </c>
      <c r="M44" s="32">
        <f t="shared" si="13"/>
        <v>0</v>
      </c>
      <c r="N44" s="32">
        <f t="shared" si="13"/>
        <v>0</v>
      </c>
      <c r="O44" s="34">
        <f t="shared" si="13"/>
        <v>0</v>
      </c>
      <c r="P44" s="34">
        <f t="shared" si="13"/>
        <v>0</v>
      </c>
    </row>
    <row r="45" spans="1:16" ht="11.25">
      <c r="A45" s="2" t="s">
        <v>38</v>
      </c>
      <c r="C45" s="32">
        <v>0</v>
      </c>
      <c r="D45" s="32">
        <v>0</v>
      </c>
      <c r="E45" s="32">
        <v>0</v>
      </c>
      <c r="F45" s="33">
        <v>0</v>
      </c>
      <c r="G45" s="34">
        <v>-1</v>
      </c>
      <c r="H45" s="34">
        <v>0</v>
      </c>
      <c r="I45" s="34">
        <v>0</v>
      </c>
      <c r="J45" s="34">
        <v>0</v>
      </c>
      <c r="K45" s="35">
        <v>0</v>
      </c>
      <c r="L45" s="32">
        <v>0</v>
      </c>
      <c r="M45" s="32">
        <v>0</v>
      </c>
      <c r="N45" s="32">
        <v>0</v>
      </c>
      <c r="O45" s="34">
        <v>0</v>
      </c>
      <c r="P45" s="34">
        <v>0</v>
      </c>
    </row>
    <row r="46" spans="1:16" ht="11.25">
      <c r="A46" s="3" t="s">
        <v>39</v>
      </c>
      <c r="B46" s="3"/>
      <c r="C46" s="36">
        <f aca="true" t="shared" si="14" ref="C46:P46">C43/C12</f>
        <v>0.009996851936059323</v>
      </c>
      <c r="D46" s="36">
        <f t="shared" si="14"/>
        <v>0.009999118761566254</v>
      </c>
      <c r="E46" s="36">
        <f t="shared" si="14"/>
        <v>0.009999646030229018</v>
      </c>
      <c r="F46" s="37">
        <f t="shared" si="14"/>
        <v>0.010000285885817205</v>
      </c>
      <c r="G46" s="36">
        <f t="shared" si="14"/>
        <v>0.010002083767451552</v>
      </c>
      <c r="H46" s="36">
        <f t="shared" si="14"/>
        <v>0.005091174052761378</v>
      </c>
      <c r="I46" s="36">
        <f t="shared" si="14"/>
        <v>0.0053923181036295694</v>
      </c>
      <c r="J46" s="36">
        <f t="shared" si="14"/>
        <v>0.00011333632765112559</v>
      </c>
      <c r="K46" s="38">
        <f t="shared" si="14"/>
        <v>0.00010829716742742084</v>
      </c>
      <c r="L46" s="36">
        <f t="shared" si="14"/>
        <v>9.105563836747358E-05</v>
      </c>
      <c r="M46" s="36">
        <f t="shared" si="14"/>
        <v>9.790519151343295E-05</v>
      </c>
      <c r="N46" s="36">
        <f t="shared" si="14"/>
        <v>8.579354260602651E-05</v>
      </c>
      <c r="O46" s="36">
        <f t="shared" si="14"/>
        <v>8.495080718998462E-05</v>
      </c>
      <c r="P46" s="36">
        <f t="shared" si="14"/>
        <v>6.33123620904335E-05</v>
      </c>
    </row>
    <row r="47" spans="1:14" ht="11.25">
      <c r="A47" s="12" t="s">
        <v>40</v>
      </c>
      <c r="E47" s="4"/>
      <c r="F47" s="25"/>
      <c r="K47" s="26"/>
      <c r="L47" s="4"/>
      <c r="M47" s="4"/>
      <c r="N47" s="4"/>
    </row>
    <row r="48" spans="1:16" ht="11.25">
      <c r="A48" s="2" t="s">
        <v>41</v>
      </c>
      <c r="C48" s="32">
        <f aca="true" t="shared" si="15" ref="C48:P48">C25/(C12+C15)</f>
        <v>0.08406030291370807</v>
      </c>
      <c r="D48" s="32">
        <f t="shared" si="15"/>
        <v>0.06741474018153512</v>
      </c>
      <c r="E48" s="32">
        <f t="shared" si="15"/>
        <v>0.07121281842530648</v>
      </c>
      <c r="F48" s="33">
        <f t="shared" si="15"/>
        <v>0.06264330026587381</v>
      </c>
      <c r="G48" s="34">
        <f t="shared" si="15"/>
        <v>0.05731429090462222</v>
      </c>
      <c r="H48" s="34">
        <f t="shared" si="15"/>
        <v>0.048151296614602795</v>
      </c>
      <c r="I48" s="34">
        <f t="shared" si="15"/>
        <v>0.05447319748286591</v>
      </c>
      <c r="J48" s="34">
        <f t="shared" si="15"/>
        <v>0.05425871745253517</v>
      </c>
      <c r="K48" s="35">
        <f t="shared" si="15"/>
        <v>0.05048252404598218</v>
      </c>
      <c r="L48" s="32">
        <f t="shared" si="15"/>
        <v>0.040432075866208915</v>
      </c>
      <c r="M48" s="32">
        <f t="shared" si="15"/>
        <v>0.041189076681521664</v>
      </c>
      <c r="N48" s="32">
        <f t="shared" si="15"/>
        <v>0.039957548084103095</v>
      </c>
      <c r="O48" s="34">
        <f t="shared" si="15"/>
        <v>0.03807054692588199</v>
      </c>
      <c r="P48" s="34">
        <f t="shared" si="15"/>
        <v>0.006406273082632012</v>
      </c>
    </row>
    <row r="49" spans="1:16" ht="11.25">
      <c r="A49" s="3" t="s">
        <v>42</v>
      </c>
      <c r="B49" s="3"/>
      <c r="C49" s="36">
        <f>C25/C10</f>
        <v>0.07336626348599655</v>
      </c>
      <c r="D49" s="36">
        <f>D25/D10</f>
        <v>0.06081145534133907</v>
      </c>
      <c r="E49" s="36">
        <f>E25/E10</f>
        <v>0.0691308107736626</v>
      </c>
      <c r="F49" s="37">
        <f>F25/F12</f>
        <v>0.06264330026587381</v>
      </c>
      <c r="G49" s="36">
        <f>G25/G12</f>
        <v>0.05731429090462222</v>
      </c>
      <c r="H49" s="36">
        <f aca="true" t="shared" si="16" ref="H49:P49">H25/H10</f>
        <v>0.04537531801015872</v>
      </c>
      <c r="I49" s="36">
        <f t="shared" si="16"/>
        <v>0.04852648012489492</v>
      </c>
      <c r="J49" s="36">
        <f t="shared" si="16"/>
        <v>0.0496121531735888</v>
      </c>
      <c r="K49" s="38">
        <f t="shared" si="16"/>
        <v>0.044725255590656945</v>
      </c>
      <c r="L49" s="36">
        <f t="shared" si="16"/>
        <v>0.036090248197594786</v>
      </c>
      <c r="M49" s="36">
        <f t="shared" si="16"/>
        <v>0.03882874537244352</v>
      </c>
      <c r="N49" s="36">
        <f t="shared" si="16"/>
        <v>0.03723112907284866</v>
      </c>
      <c r="O49" s="36">
        <f t="shared" si="16"/>
        <v>0.03467903265561141</v>
      </c>
      <c r="P49" s="36">
        <f t="shared" si="16"/>
        <v>0.0058835690780972725</v>
      </c>
    </row>
    <row r="50" spans="1:16" ht="11.25">
      <c r="A50" s="12" t="s">
        <v>43</v>
      </c>
      <c r="E50" s="4"/>
      <c r="F50" s="25"/>
      <c r="K50" s="39"/>
      <c r="L50" s="40"/>
      <c r="M50" s="40"/>
      <c r="N50" s="40"/>
      <c r="O50" s="41"/>
      <c r="P50" s="41"/>
    </row>
    <row r="51" spans="1:16" ht="11.25">
      <c r="A51" s="2" t="s">
        <v>44</v>
      </c>
      <c r="C51" s="40">
        <f aca="true" t="shared" si="17" ref="C51:P51">C11/C16</f>
        <v>0.13332577026513004</v>
      </c>
      <c r="D51" s="40">
        <f t="shared" si="17"/>
        <v>0.10023617949641728</v>
      </c>
      <c r="E51" s="40">
        <f t="shared" si="17"/>
        <v>0.02548180138798742</v>
      </c>
      <c r="F51" s="42">
        <f t="shared" si="17"/>
        <v>0.1382302919843385</v>
      </c>
      <c r="G51" s="41">
        <f t="shared" si="17"/>
        <v>0.11448828700259614</v>
      </c>
      <c r="H51" s="41">
        <f t="shared" si="17"/>
        <v>0.054031889811475484</v>
      </c>
      <c r="I51" s="41">
        <f t="shared" si="17"/>
        <v>0.10780830449120443</v>
      </c>
      <c r="J51" s="41">
        <f t="shared" si="17"/>
        <v>0.08161230188126307</v>
      </c>
      <c r="K51" s="39">
        <f t="shared" si="17"/>
        <v>0.11060929452673986</v>
      </c>
      <c r="L51" s="40">
        <f t="shared" si="17"/>
        <v>0.10229384674508124</v>
      </c>
      <c r="M51" s="40">
        <f t="shared" si="17"/>
        <v>0.05163686904689409</v>
      </c>
      <c r="N51" s="40">
        <f t="shared" si="17"/>
        <v>0.06229464496050984</v>
      </c>
      <c r="O51" s="41">
        <f t="shared" si="17"/>
        <v>0.08290298147765614</v>
      </c>
      <c r="P51" s="41">
        <f t="shared" si="17"/>
        <v>0.0729089053831716</v>
      </c>
    </row>
    <row r="52" spans="1:16" ht="11.25">
      <c r="A52" s="2" t="s">
        <v>45</v>
      </c>
      <c r="C52" s="40">
        <f aca="true" t="shared" si="18" ref="C52:P52">C11/C10</f>
        <v>0.12198606675988057</v>
      </c>
      <c r="D52" s="40">
        <f t="shared" si="18"/>
        <v>0.09288916681681841</v>
      </c>
      <c r="E52" s="40">
        <f t="shared" si="18"/>
        <v>0.02338340654368854</v>
      </c>
      <c r="F52" s="42">
        <f t="shared" si="18"/>
        <v>0.1290606619738515</v>
      </c>
      <c r="G52" s="41">
        <f t="shared" si="18"/>
        <v>0.10718042013701357</v>
      </c>
      <c r="H52" s="41">
        <f t="shared" si="18"/>
        <v>0.05104008028381031</v>
      </c>
      <c r="I52" s="41">
        <f t="shared" si="18"/>
        <v>0.10144830070853848</v>
      </c>
      <c r="J52" s="41">
        <f t="shared" si="18"/>
        <v>0.07695909664889596</v>
      </c>
      <c r="K52" s="39">
        <f t="shared" si="18"/>
        <v>0.10478417381230744</v>
      </c>
      <c r="L52" s="40">
        <f t="shared" si="18"/>
        <v>0.0977558361805566</v>
      </c>
      <c r="M52" s="40">
        <f t="shared" si="18"/>
        <v>0.04927514433874226</v>
      </c>
      <c r="N52" s="40">
        <f t="shared" si="18"/>
        <v>0.059501709819247676</v>
      </c>
      <c r="O52" s="41">
        <f t="shared" si="18"/>
        <v>0.07936626217348687</v>
      </c>
      <c r="P52" s="41">
        <f t="shared" si="18"/>
        <v>0.07186051720276347</v>
      </c>
    </row>
    <row r="53" spans="1:16" ht="11.25">
      <c r="A53" s="3" t="s">
        <v>46</v>
      </c>
      <c r="B53" s="3"/>
      <c r="C53" s="43">
        <f aca="true" t="shared" si="19" ref="C53:P53">(C11+C15)/C16</f>
        <v>0.13332577026513004</v>
      </c>
      <c r="D53" s="43">
        <f t="shared" si="19"/>
        <v>0.10023617949641728</v>
      </c>
      <c r="E53" s="43">
        <f t="shared" si="19"/>
        <v>0.02548180138798742</v>
      </c>
      <c r="F53" s="44">
        <f t="shared" si="19"/>
        <v>0.1382302919843385</v>
      </c>
      <c r="G53" s="43">
        <f t="shared" si="19"/>
        <v>0.11448828700259614</v>
      </c>
      <c r="H53" s="43">
        <f t="shared" si="19"/>
        <v>0.054031889811475484</v>
      </c>
      <c r="I53" s="43">
        <f t="shared" si="19"/>
        <v>0.10780830449120443</v>
      </c>
      <c r="J53" s="43">
        <f t="shared" si="19"/>
        <v>0.08161230188126307</v>
      </c>
      <c r="K53" s="45">
        <f t="shared" si="19"/>
        <v>0.11060929452673986</v>
      </c>
      <c r="L53" s="43">
        <f t="shared" si="19"/>
        <v>0.10229384674508124</v>
      </c>
      <c r="M53" s="43">
        <f t="shared" si="19"/>
        <v>0.05163686904689409</v>
      </c>
      <c r="N53" s="43">
        <f t="shared" si="19"/>
        <v>0.06229464496050984</v>
      </c>
      <c r="O53" s="43">
        <f t="shared" si="19"/>
        <v>0.08290298147765614</v>
      </c>
      <c r="P53" s="43">
        <f t="shared" si="19"/>
        <v>0.0729089053831716</v>
      </c>
    </row>
    <row r="54" spans="1:14" ht="11.25">
      <c r="A54" s="12" t="s">
        <v>47</v>
      </c>
      <c r="E54" s="4"/>
      <c r="F54" s="25"/>
      <c r="K54" s="26"/>
      <c r="L54" s="4"/>
      <c r="M54" s="4"/>
      <c r="N54" s="4"/>
    </row>
    <row r="55" spans="1:16" ht="11.25">
      <c r="A55" s="2" t="s">
        <v>48</v>
      </c>
      <c r="B55" s="4"/>
      <c r="C55" s="32">
        <f>(C40)/C28</f>
        <v>0.007549090292209169</v>
      </c>
      <c r="D55" s="32">
        <f>(D40/0.75)/D28</f>
        <v>0.004891871427047365</v>
      </c>
      <c r="E55" s="32">
        <f>(E40/0.5)/E28</f>
        <v>0.005927511938133003</v>
      </c>
      <c r="F55" s="33">
        <f>((F40)/0.25)/F28</f>
        <v>0.00443450392618197</v>
      </c>
      <c r="G55" s="46">
        <f>G40/G28</f>
        <v>-0.0032441720602554556</v>
      </c>
      <c r="H55" s="46">
        <f>(H40/0.75)/H28</f>
        <v>-0.0006580261565397224</v>
      </c>
      <c r="I55" s="34">
        <f>(I40/0.5)/I28</f>
        <v>-0.0028792826076587184</v>
      </c>
      <c r="J55" s="34">
        <f>((J40)/0.25)/J28</f>
        <v>0.004919177195273249</v>
      </c>
      <c r="K55" s="47">
        <f>K40/K28</f>
        <v>0.008093168413721359</v>
      </c>
      <c r="L55" s="46">
        <f>(L40/0.75)/L28</f>
        <v>0.007245344241909961</v>
      </c>
      <c r="M55" s="46">
        <f>(M40/0.5)/M28</f>
        <v>0.007079151433295299</v>
      </c>
      <c r="N55" s="32">
        <f>((N40)/0.25)/N28</f>
        <v>0.005233903761320849</v>
      </c>
      <c r="O55" s="34">
        <f>O40/O28</f>
        <v>0.006561976009286727</v>
      </c>
      <c r="P55" s="34">
        <f>P40/P28</f>
        <v>0.0012627023803912843</v>
      </c>
    </row>
    <row r="56" spans="1:16" ht="11.25">
      <c r="A56" s="2" t="s">
        <v>49</v>
      </c>
      <c r="B56" s="4"/>
      <c r="C56" s="32">
        <f>(C40)/C27</f>
        <v>0.006647903856157714</v>
      </c>
      <c r="D56" s="32">
        <f>(D40/0.75)/D27</f>
        <v>0.00452040433574101</v>
      </c>
      <c r="E56" s="32">
        <f>(E40/0.5)/E27</f>
        <v>0.0054965437607436005</v>
      </c>
      <c r="F56" s="33">
        <f>((F40)/0.25)/F27</f>
        <v>0.003959420264797037</v>
      </c>
      <c r="G56" s="46">
        <f>G40/G27</f>
        <v>-0.002875237826433913</v>
      </c>
      <c r="H56" s="46">
        <f>(H40/0.75)/H27</f>
        <v>-0.0006006553578994224</v>
      </c>
      <c r="I56" s="34">
        <f>(I40/0.5)/I27</f>
        <v>-0.0026522020466691696</v>
      </c>
      <c r="J56" s="34">
        <f>((J40)/0.25)/J27</f>
        <v>0.004546244668190996</v>
      </c>
      <c r="K56" s="47">
        <f>K40/K27</f>
        <v>0.007282003931330227</v>
      </c>
      <c r="L56" s="46">
        <f>(L40/0.75)/L27</f>
        <v>0.00653551350669582</v>
      </c>
      <c r="M56" s="46">
        <f>(M40/0.5)/M27</f>
        <v>0.006673168406561531</v>
      </c>
      <c r="N56" s="32">
        <f>((N40)/0.25)/N27</f>
        <v>0.004897352816874352</v>
      </c>
      <c r="O56" s="34">
        <f>O40/O27</f>
        <v>0.0060054742775355425</v>
      </c>
      <c r="P56" s="34">
        <f>P40/P27</f>
        <v>0.0011829725883070552</v>
      </c>
    </row>
    <row r="57" spans="1:16" ht="11.25">
      <c r="A57" s="2" t="s">
        <v>50</v>
      </c>
      <c r="B57" s="4"/>
      <c r="C57" s="32">
        <f>(C40)/C31</f>
        <v>0.10957217605417051</v>
      </c>
      <c r="D57" s="32">
        <f>(D40/0.75)/D31</f>
        <v>0.08630187293426368</v>
      </c>
      <c r="E57" s="32">
        <f>(E40/0.5)/E31</f>
        <v>0.09489018175258197</v>
      </c>
      <c r="F57" s="33">
        <f>((F40)/0.25)/F31</f>
        <v>0.07671049325852106</v>
      </c>
      <c r="G57" s="46">
        <f>+G40/G31</f>
        <v>-0.06073864367520267</v>
      </c>
      <c r="H57" s="46">
        <f>(H40/0.75)/H31</f>
        <v>-0.015068616019373935</v>
      </c>
      <c r="I57" s="34">
        <f>(I40/0.5)/I31</f>
        <v>-0.06187968873771026</v>
      </c>
      <c r="J57" s="34">
        <f>((J40)/0.25)/J31</f>
        <v>0.10666248382416375</v>
      </c>
      <c r="K57" s="47">
        <f>+K40/K31</f>
        <v>0.1859353479705096</v>
      </c>
      <c r="L57" s="46">
        <f>(L40/0.75)/L31</f>
        <v>0.19186523078662482</v>
      </c>
      <c r="M57" s="46">
        <f>(M40/0.5)/M31</f>
        <v>0.18955150759364006</v>
      </c>
      <c r="N57" s="32">
        <f>((N40)/0.25)/N31</f>
        <v>0.24723605094717785</v>
      </c>
      <c r="O57" s="34">
        <f>O40/O31</f>
        <v>0.32928802588996764</v>
      </c>
      <c r="P57" s="34">
        <f>P40/P31</f>
        <v>0.18637760880116486</v>
      </c>
    </row>
    <row r="58" spans="1:16" ht="11.25">
      <c r="A58" s="2" t="s">
        <v>51</v>
      </c>
      <c r="B58" s="4"/>
      <c r="C58" s="32">
        <f>(C33)/C28</f>
        <v>0.032177542971045664</v>
      </c>
      <c r="D58" s="32">
        <f>(D33/0.75)/D28</f>
        <v>0.028463058998224527</v>
      </c>
      <c r="E58" s="32">
        <f>(E33/0.5)/E28</f>
        <v>0.03164344776098379</v>
      </c>
      <c r="F58" s="33">
        <f>((F33)/0.25)/F28</f>
        <v>0.028969510364926752</v>
      </c>
      <c r="G58" s="46">
        <f>G33/G28</f>
        <v>0.05155392634171487</v>
      </c>
      <c r="H58" s="46">
        <f>(H33/0.75)/H28</f>
        <v>0.049028171092023135</v>
      </c>
      <c r="I58" s="34">
        <f>(I33/0.5)/I28</f>
        <v>0.05995325502031542</v>
      </c>
      <c r="J58" s="34">
        <f>((J33)/0.25)/J28</f>
        <v>0.056252238044771745</v>
      </c>
      <c r="K58" s="47">
        <f>K33/K28</f>
        <v>0.06954482539738514</v>
      </c>
      <c r="L58" s="46">
        <f>(L33/0.75)/L28</f>
        <v>0.0635600705535142</v>
      </c>
      <c r="M58" s="46">
        <f>(M33/0.5)/M28</f>
        <v>0.0647369769228978</v>
      </c>
      <c r="N58" s="32">
        <f>((N33)/0.25)/N28</f>
        <v>0.053105508875326606</v>
      </c>
      <c r="O58" s="34">
        <f>O33/O28</f>
        <v>0.11455780558063546</v>
      </c>
      <c r="P58" s="34">
        <f>P33/P27</f>
        <v>0.05433869573164595</v>
      </c>
    </row>
    <row r="59" spans="1:16" ht="11.25">
      <c r="A59" s="2" t="s">
        <v>52</v>
      </c>
      <c r="B59" s="4"/>
      <c r="C59" s="32">
        <f>(C34)/C28</f>
        <v>0.022204988700599202</v>
      </c>
      <c r="D59" s="32">
        <f>(D34/0.75)/D28</f>
        <v>0.019858916346396537</v>
      </c>
      <c r="E59" s="32">
        <f>(E34/0.5)/E28</f>
        <v>0.022481723035314337</v>
      </c>
      <c r="F59" s="33">
        <f>((F34)/0.25)/F28</f>
        <v>0.021591580251934046</v>
      </c>
      <c r="G59" s="46">
        <f>G34/G28</f>
        <v>0.043466407010710806</v>
      </c>
      <c r="H59" s="46">
        <f>(H34/0.75)/H28</f>
        <v>0.04205100486077655</v>
      </c>
      <c r="I59" s="34">
        <f>(I34/0.5)/I28</f>
        <v>0.05228673145052534</v>
      </c>
      <c r="J59" s="34">
        <f>((J34)/0.25)/J28</f>
        <v>0.05073986595242143</v>
      </c>
      <c r="K59" s="47">
        <f>K34/K28</f>
        <v>0.06315845154237452</v>
      </c>
      <c r="L59" s="46">
        <f>(L34/0.75)/L28</f>
        <v>0.0578346688868075</v>
      </c>
      <c r="M59" s="46">
        <f>(M34/0.5)/M28</f>
        <v>0.05932115994291436</v>
      </c>
      <c r="N59" s="32">
        <f>((N34)/0.25)/N28</f>
        <v>0.048692824323418024</v>
      </c>
      <c r="O59" s="34">
        <f>O34/O28</f>
        <v>0.10599122920159938</v>
      </c>
      <c r="P59" s="34">
        <f>P34/P27</f>
        <v>0.052453333169031585</v>
      </c>
    </row>
    <row r="60" spans="1:16" ht="11.25">
      <c r="A60" s="2" t="s">
        <v>53</v>
      </c>
      <c r="B60" s="4"/>
      <c r="C60" s="32">
        <f>(C35)/C28</f>
        <v>0.009972554270446462</v>
      </c>
      <c r="D60" s="32">
        <f>(D35/0.75)/D28</f>
        <v>0.00860414265182799</v>
      </c>
      <c r="E60" s="32">
        <f>(E35/0.5)/E28</f>
        <v>0.009161724725669451</v>
      </c>
      <c r="F60" s="33">
        <f>((F35)/0.25)/F28</f>
        <v>0.007377930112992709</v>
      </c>
      <c r="G60" s="46">
        <f>G35/G28</f>
        <v>0.008087519331004068</v>
      </c>
      <c r="H60" s="46">
        <f>(H35/0.75)/H28</f>
        <v>0.006977166231246581</v>
      </c>
      <c r="I60" s="34">
        <f>(I35/0.5)/I28</f>
        <v>0.007666523569790081</v>
      </c>
      <c r="J60" s="34">
        <f>((J35)/0.25)/J28</f>
        <v>0.005512372092350318</v>
      </c>
      <c r="K60" s="47">
        <f>K35/K28</f>
        <v>0.006386373855010624</v>
      </c>
      <c r="L60" s="46">
        <f>(L35/0.75)/L28</f>
        <v>0.005725401666706693</v>
      </c>
      <c r="M60" s="46">
        <f>(M35/0.5)/M28</f>
        <v>0.005415816979983433</v>
      </c>
      <c r="N60" s="32">
        <f>((N35)/0.25)/N28</f>
        <v>0.004412684551908582</v>
      </c>
      <c r="O60" s="34">
        <f>O35/O28</f>
        <v>0.008566576379036073</v>
      </c>
      <c r="P60" s="34">
        <f>P35/P27</f>
        <v>0.0018853625626143694</v>
      </c>
    </row>
    <row r="61" spans="1:16" ht="11.25">
      <c r="A61" s="2" t="s">
        <v>54</v>
      </c>
      <c r="B61" s="4"/>
      <c r="C61" s="32">
        <f>(C38)/(C37)</f>
        <v>0.47381756756756754</v>
      </c>
      <c r="D61" s="32">
        <f>(D38/0.75)/(D37/0.75)</f>
        <v>0.5640074211502782</v>
      </c>
      <c r="E61" s="32">
        <f>(E38/0.5)/(E37/0.5)</f>
        <v>0.5365638766519824</v>
      </c>
      <c r="F61" s="33">
        <f>(F38/0.25)/(F37/0.25)</f>
        <v>0.6024305555555556</v>
      </c>
      <c r="G61" s="46">
        <f>G38/G37</f>
        <v>0.4697754749568221</v>
      </c>
      <c r="H61" s="46">
        <f>(H38/0.75)/(H37/0.75)</f>
        <v>0.4501905280348394</v>
      </c>
      <c r="I61" s="34">
        <f>(I38/0.5)/(I37/0.5)</f>
        <v>0.4876099120703437</v>
      </c>
      <c r="J61" s="34">
        <f>(J38/0.25)/(J37/0.25)</f>
        <v>0.5107913669064749</v>
      </c>
      <c r="K61" s="47">
        <f>K38/K37</f>
        <v>0.32638685060170236</v>
      </c>
      <c r="L61" s="46">
        <f>(L38/0.75)/(L37/0.75)</f>
        <v>0.34428129829984544</v>
      </c>
      <c r="M61" s="46">
        <f>(M38/0.5)/(M37/0.5)</f>
        <v>0.3821138211382114</v>
      </c>
      <c r="N61" s="32">
        <f>(N38/0.25)/(N37/0.25)</f>
        <v>0.4641255605381166</v>
      </c>
      <c r="O61" s="34">
        <f>O38/O37</f>
        <v>0.4641211323238973</v>
      </c>
      <c r="P61" s="34">
        <f>P38/P37</f>
        <v>0.5343606830487297</v>
      </c>
    </row>
    <row r="62" spans="1:16" ht="11.25">
      <c r="A62" s="3" t="s">
        <v>55</v>
      </c>
      <c r="B62" s="3"/>
      <c r="C62" s="36">
        <f>(C36)/C28</f>
        <v>0.004374352480718315</v>
      </c>
      <c r="D62" s="36">
        <f>(D36/0.75)/D28</f>
        <v>0.0026159369191444777</v>
      </c>
      <c r="E62" s="36">
        <f>(E36/0.5)/E28</f>
        <v>0.003628628981138454</v>
      </c>
      <c r="F62" s="37">
        <f>(F36/0.25)/F28</f>
        <v>0.003776105963342725</v>
      </c>
      <c r="G62" s="48">
        <f>G36/G28</f>
        <v>0.0025247723237298812</v>
      </c>
      <c r="H62" s="48">
        <f>(H36/0.75)/H28</f>
        <v>0.002616437336717468</v>
      </c>
      <c r="I62" s="36">
        <f>(I36/0.5)/I28</f>
        <v>0.0031828214367793663</v>
      </c>
      <c r="J62" s="36">
        <f>(J36/0.25)/J28</f>
        <v>0.004557472989738452</v>
      </c>
      <c r="K62" s="49">
        <f>K36/K28</f>
        <v>0.005628190321699036</v>
      </c>
      <c r="L62" s="48">
        <f>(L36/0.75)/L28</f>
        <v>0.005324068514827179</v>
      </c>
      <c r="M62" s="48">
        <f>(M36/0.5)/M28</f>
        <v>0.006041230734428695</v>
      </c>
      <c r="N62" s="32">
        <f>(N36/0.25)/N28</f>
        <v>0.005354349245367982</v>
      </c>
      <c r="O62" s="36">
        <f>O36/O28</f>
        <v>0.0036786835203577108</v>
      </c>
      <c r="P62" s="36">
        <f>P36/P27</f>
        <v>0.0030457436605197275</v>
      </c>
    </row>
    <row r="63" spans="1:14" ht="11.25">
      <c r="A63" s="12" t="s">
        <v>56</v>
      </c>
      <c r="E63" s="4"/>
      <c r="F63" s="25"/>
      <c r="K63" s="26"/>
      <c r="L63" s="4"/>
      <c r="M63" s="4"/>
      <c r="N63" s="4"/>
    </row>
    <row r="64" spans="1:16" ht="11.25">
      <c r="A64" s="2" t="s">
        <v>57</v>
      </c>
      <c r="C64" s="18">
        <v>15</v>
      </c>
      <c r="D64" s="18">
        <v>15</v>
      </c>
      <c r="E64" s="4">
        <v>12</v>
      </c>
      <c r="F64" s="25">
        <v>15</v>
      </c>
      <c r="G64" s="2">
        <v>12</v>
      </c>
      <c r="H64" s="18">
        <v>15</v>
      </c>
      <c r="I64" s="18">
        <v>15</v>
      </c>
      <c r="J64" s="18">
        <v>16</v>
      </c>
      <c r="K64" s="21">
        <v>16</v>
      </c>
      <c r="L64" s="19">
        <v>16</v>
      </c>
      <c r="M64" s="19">
        <v>16</v>
      </c>
      <c r="N64" s="19">
        <v>17</v>
      </c>
      <c r="O64" s="18">
        <v>18</v>
      </c>
      <c r="P64" s="18">
        <v>17</v>
      </c>
    </row>
    <row r="65" spans="1:16" ht="11.25">
      <c r="A65" s="2" t="s">
        <v>58</v>
      </c>
      <c r="C65" s="18">
        <v>1</v>
      </c>
      <c r="D65" s="18">
        <v>1</v>
      </c>
      <c r="E65" s="4">
        <v>1</v>
      </c>
      <c r="F65" s="25">
        <v>1</v>
      </c>
      <c r="G65" s="2">
        <v>1</v>
      </c>
      <c r="H65" s="18">
        <v>1</v>
      </c>
      <c r="I65" s="18">
        <v>1</v>
      </c>
      <c r="J65" s="18">
        <v>1</v>
      </c>
      <c r="K65" s="21">
        <v>1</v>
      </c>
      <c r="L65" s="19">
        <v>1</v>
      </c>
      <c r="M65" s="19">
        <v>1</v>
      </c>
      <c r="N65" s="19">
        <v>1</v>
      </c>
      <c r="O65" s="18">
        <v>1</v>
      </c>
      <c r="P65" s="18">
        <v>1</v>
      </c>
    </row>
    <row r="66" spans="1:16" ht="11.25">
      <c r="A66" s="2" t="s">
        <v>59</v>
      </c>
      <c r="C66" s="19">
        <f aca="true" t="shared" si="20" ref="C66:P66">C12/C64</f>
        <v>9529.666666666666</v>
      </c>
      <c r="D66" s="19">
        <f t="shared" si="20"/>
        <v>11347.666666666666</v>
      </c>
      <c r="E66" s="19">
        <f t="shared" si="20"/>
        <v>14125.5</v>
      </c>
      <c r="F66" s="20">
        <f t="shared" si="20"/>
        <v>11659.666666666666</v>
      </c>
      <c r="G66" s="18">
        <f t="shared" si="20"/>
        <v>15596.75</v>
      </c>
      <c r="H66" s="18">
        <f t="shared" si="20"/>
        <v>14273.066666666668</v>
      </c>
      <c r="I66" s="18">
        <f t="shared" si="20"/>
        <v>12363.266666666666</v>
      </c>
      <c r="J66" s="18">
        <f t="shared" si="20"/>
        <v>14889.3125</v>
      </c>
      <c r="K66" s="21">
        <f t="shared" si="20"/>
        <v>15582.125</v>
      </c>
      <c r="L66" s="19">
        <f t="shared" si="20"/>
        <v>18532.625</v>
      </c>
      <c r="M66" s="19">
        <f t="shared" si="20"/>
        <v>17236.0625</v>
      </c>
      <c r="N66" s="19">
        <f t="shared" si="20"/>
        <v>18512.29411764706</v>
      </c>
      <c r="O66" s="18">
        <f t="shared" si="20"/>
        <v>17657.277777777777</v>
      </c>
      <c r="P66" s="18">
        <f t="shared" si="20"/>
        <v>25085.70588235294</v>
      </c>
    </row>
    <row r="67" spans="1:16" ht="11.25">
      <c r="A67" s="2" t="s">
        <v>60</v>
      </c>
      <c r="C67" s="19">
        <f aca="true" t="shared" si="21" ref="C67:P67">C16/C64</f>
        <v>9990.066666666668</v>
      </c>
      <c r="D67" s="19">
        <f t="shared" si="21"/>
        <v>11657.8</v>
      </c>
      <c r="E67" s="19">
        <f t="shared" si="21"/>
        <v>13352.666666666666</v>
      </c>
      <c r="F67" s="20">
        <f t="shared" si="21"/>
        <v>12582.866666666667</v>
      </c>
      <c r="G67" s="18">
        <f t="shared" si="21"/>
        <v>16466.75</v>
      </c>
      <c r="H67" s="18">
        <f t="shared" si="21"/>
        <v>14307.6</v>
      </c>
      <c r="I67" s="18">
        <f t="shared" si="21"/>
        <v>13059.6</v>
      </c>
      <c r="J67" s="18">
        <f t="shared" si="21"/>
        <v>15355.375</v>
      </c>
      <c r="K67" s="21">
        <f t="shared" si="21"/>
        <v>16661.6875</v>
      </c>
      <c r="L67" s="19">
        <f t="shared" si="21"/>
        <v>19841.125</v>
      </c>
      <c r="M67" s="19">
        <f t="shared" si="21"/>
        <v>17447.5625</v>
      </c>
      <c r="N67" s="19">
        <f t="shared" si="21"/>
        <v>18977.176470588234</v>
      </c>
      <c r="O67" s="18">
        <f t="shared" si="21"/>
        <v>18557.166666666668</v>
      </c>
      <c r="P67" s="18">
        <f t="shared" si="21"/>
        <v>26921.58823529412</v>
      </c>
    </row>
    <row r="68" spans="1:16" ht="11.25">
      <c r="A68" s="3" t="s">
        <v>61</v>
      </c>
      <c r="B68" s="3"/>
      <c r="C68" s="22">
        <f aca="true" t="shared" si="22" ref="C68:P68">(C40/C64)</f>
        <v>83.06666666666666</v>
      </c>
      <c r="D68" s="22">
        <f t="shared" si="22"/>
        <v>47</v>
      </c>
      <c r="E68" s="22">
        <f t="shared" si="22"/>
        <v>43.833333333333336</v>
      </c>
      <c r="F68" s="50">
        <f t="shared" si="22"/>
        <v>15.266666666666667</v>
      </c>
      <c r="G68" s="30">
        <f t="shared" si="22"/>
        <v>-59</v>
      </c>
      <c r="H68" s="30">
        <f t="shared" si="22"/>
        <v>-8.4</v>
      </c>
      <c r="I68" s="30">
        <f t="shared" si="22"/>
        <v>-22.133333333333333</v>
      </c>
      <c r="J68" s="30">
        <f t="shared" si="22"/>
        <v>21.25</v>
      </c>
      <c r="K68" s="24">
        <f t="shared" si="22"/>
        <v>143.4375</v>
      </c>
      <c r="L68" s="22">
        <f t="shared" si="22"/>
        <v>106.0625</v>
      </c>
      <c r="M68" s="22">
        <f t="shared" si="22"/>
        <v>66.5</v>
      </c>
      <c r="N68" s="22">
        <f t="shared" si="22"/>
        <v>28.11764705882353</v>
      </c>
      <c r="O68" s="22">
        <f t="shared" si="22"/>
        <v>135.66666666666666</v>
      </c>
      <c r="P68" s="22">
        <f t="shared" si="22"/>
        <v>33.88235294117647</v>
      </c>
    </row>
    <row r="69" spans="1:14" ht="11.25">
      <c r="A69" s="12" t="s">
        <v>62</v>
      </c>
      <c r="E69" s="4"/>
      <c r="F69" s="25"/>
      <c r="K69" s="26"/>
      <c r="L69" s="4"/>
      <c r="M69" s="4"/>
      <c r="N69" s="4"/>
    </row>
    <row r="70" spans="1:16" ht="11.25">
      <c r="A70" s="2" t="s">
        <v>63</v>
      </c>
      <c r="C70" s="32">
        <f aca="true" t="shared" si="23" ref="C70:K70">(C10/G10)-1</f>
        <v>-0.22405886087343774</v>
      </c>
      <c r="D70" s="32">
        <f t="shared" si="23"/>
        <v>-0.16944109439509847</v>
      </c>
      <c r="E70" s="32">
        <f t="shared" si="23"/>
        <v>-0.1612297345982947</v>
      </c>
      <c r="F70" s="33">
        <f t="shared" si="23"/>
        <v>-0.22410292429982226</v>
      </c>
      <c r="G70" s="34">
        <f t="shared" si="23"/>
        <v>-0.24993337052738562</v>
      </c>
      <c r="H70" s="34">
        <f t="shared" si="23"/>
        <v>-0.31608242146931775</v>
      </c>
      <c r="I70" s="34">
        <f t="shared" si="23"/>
        <v>-0.28839034528493446</v>
      </c>
      <c r="J70" s="34">
        <f t="shared" si="23"/>
        <v>-0.22860949504818584</v>
      </c>
      <c r="K70" s="35">
        <f t="shared" si="23"/>
        <v>-0.19347747582498842</v>
      </c>
      <c r="L70" s="32">
        <f>(L10/360227)-1</f>
        <v>-0.07781759834770852</v>
      </c>
      <c r="M70" s="32">
        <f>(M10/345237)-1</f>
        <v>-0.15263717388344822</v>
      </c>
      <c r="N70" s="32">
        <f>(N10/443075)-1</f>
        <v>-0.23770242058342272</v>
      </c>
      <c r="O70" s="34">
        <f>(O10/P10)-1</f>
        <v>-0.24858725427700157</v>
      </c>
      <c r="P70" s="34">
        <f>(P10/509474)-1</f>
        <v>-0.08858155666432443</v>
      </c>
    </row>
    <row r="71" spans="1:16" ht="11.25">
      <c r="A71" s="2" t="s">
        <v>64</v>
      </c>
      <c r="C71" s="32">
        <f aca="true" t="shared" si="24" ref="C71:I73">(C12/G12)-1</f>
        <v>-0.23624579907138776</v>
      </c>
      <c r="D71" s="32">
        <f t="shared" si="24"/>
        <v>-0.20495945743965327</v>
      </c>
      <c r="E71" s="32">
        <f t="shared" si="24"/>
        <v>-0.08596972752616627</v>
      </c>
      <c r="F71" s="33">
        <f t="shared" si="24"/>
        <v>-0.26585344353542184</v>
      </c>
      <c r="G71" s="34">
        <f t="shared" si="24"/>
        <v>-0.2492960684117218</v>
      </c>
      <c r="H71" s="34">
        <f t="shared" si="24"/>
        <v>-0.27797600178064363</v>
      </c>
      <c r="I71" s="34">
        <f t="shared" si="24"/>
        <v>-0.3275400051490879</v>
      </c>
      <c r="J71" s="34">
        <f>J12/N12-1</f>
        <v>-0.24301815327810772</v>
      </c>
      <c r="K71" s="35">
        <f>(K12/O12)-1</f>
        <v>-0.215576831712451</v>
      </c>
      <c r="L71" s="32">
        <f>L12/328063-1</f>
        <v>-0.09614311885217164</v>
      </c>
      <c r="M71" s="32">
        <f>M12/325425-1</f>
        <v>-0.15256357071521853</v>
      </c>
      <c r="N71" s="32">
        <f>N12/415912-1</f>
        <v>-0.24332791552059085</v>
      </c>
      <c r="O71" s="34">
        <f>(O12/P12)-1</f>
        <v>-0.25471735720131217</v>
      </c>
      <c r="P71" s="34">
        <f>P12/485872-1</f>
        <v>-0.12228529324595783</v>
      </c>
    </row>
    <row r="72" spans="2:16" ht="11.25">
      <c r="B72" s="2" t="s">
        <v>15</v>
      </c>
      <c r="C72" s="32">
        <f t="shared" si="24"/>
        <v>-0.06007751937984496</v>
      </c>
      <c r="D72" s="32">
        <f t="shared" si="24"/>
        <v>1.0221147201105736</v>
      </c>
      <c r="E72" s="32">
        <f t="shared" si="24"/>
        <v>1.3126760563380282</v>
      </c>
      <c r="F72" s="33">
        <f t="shared" si="24"/>
        <v>5.5344827586206895</v>
      </c>
      <c r="G72" s="34">
        <f t="shared" si="24"/>
        <v>1.9401709401709404</v>
      </c>
      <c r="H72" s="34">
        <f t="shared" si="24"/>
        <v>-0.5332258064516129</v>
      </c>
      <c r="I72" s="34">
        <f t="shared" si="24"/>
        <v>-0.676881067961165</v>
      </c>
      <c r="J72" s="34">
        <f>(J13/N13)-1</f>
        <v>-0.9073482428115016</v>
      </c>
      <c r="K72" s="35">
        <f>(K13/O13)-1</f>
        <v>-0.7634770889487871</v>
      </c>
      <c r="L72" s="32">
        <f>(L13/4409)-1</f>
        <v>-0.29689271943751416</v>
      </c>
      <c r="M72" s="32">
        <f>(M13/3967)-1</f>
        <v>-0.16914544996218805</v>
      </c>
      <c r="N72" s="32">
        <f>(N13/3498)-1</f>
        <v>-0.10520297312750138</v>
      </c>
      <c r="O72" s="34">
        <f>(O13/P13)-1</f>
        <v>0.5325301204819277</v>
      </c>
      <c r="P72" s="34">
        <f>(P13/5362)-1</f>
        <v>-0.45822454308093996</v>
      </c>
    </row>
    <row r="73" spans="2:16" ht="11.25">
      <c r="B73" s="2" t="s">
        <v>16</v>
      </c>
      <c r="C73" s="32">
        <f t="shared" si="24"/>
        <v>-0.23920897509032135</v>
      </c>
      <c r="D73" s="32">
        <f t="shared" si="24"/>
        <v>-0.21330925609807716</v>
      </c>
      <c r="E73" s="32">
        <f t="shared" si="24"/>
        <v>-0.09404829052412356</v>
      </c>
      <c r="F73" s="33">
        <f t="shared" si="24"/>
        <v>-0.2729228920017316</v>
      </c>
      <c r="G73" s="34">
        <f t="shared" si="24"/>
        <v>-0.25858270127003435</v>
      </c>
      <c r="H73" s="34">
        <f t="shared" si="24"/>
        <v>-0.2752792905780752</v>
      </c>
      <c r="I73" s="34">
        <f t="shared" si="24"/>
        <v>-0.32331428613371205</v>
      </c>
      <c r="J73" s="34">
        <f>(J14/N14)-1</f>
        <v>-0.23634455467152793</v>
      </c>
      <c r="K73" s="35">
        <f>(K14/O14)-1</f>
        <v>-0.2077931195134326</v>
      </c>
      <c r="L73" s="32">
        <f>(L14/323654)-1</f>
        <v>-0.09340839291341985</v>
      </c>
      <c r="M73" s="32">
        <f>(M14/321459)-1</f>
        <v>-0.15236157643743053</v>
      </c>
      <c r="N73" s="32">
        <f>(N14/412414)-1</f>
        <v>-0.24449945928120775</v>
      </c>
      <c r="O73" s="34">
        <f>(O14/P14)-1</f>
        <v>-0.2601168215472952</v>
      </c>
      <c r="P73" s="34">
        <f>(P14/480510)-1</f>
        <v>-0.11853655491040771</v>
      </c>
    </row>
    <row r="74" spans="1:16" ht="11.25">
      <c r="A74" s="2" t="s">
        <v>65</v>
      </c>
      <c r="C74" s="32">
        <f aca="true" t="shared" si="25" ref="C74:K75">(C16/G16)-1</f>
        <v>-0.2416485746529623</v>
      </c>
      <c r="D74" s="32">
        <f t="shared" si="25"/>
        <v>-0.18520227012217283</v>
      </c>
      <c r="E74" s="32">
        <f t="shared" si="25"/>
        <v>-0.18204743381624755</v>
      </c>
      <c r="F74" s="33">
        <f t="shared" si="25"/>
        <v>-0.23177144810856132</v>
      </c>
      <c r="G74" s="34">
        <f t="shared" si="25"/>
        <v>-0.25877480897418104</v>
      </c>
      <c r="H74" s="34">
        <f t="shared" si="25"/>
        <v>-0.3239609649150439</v>
      </c>
      <c r="I74" s="34">
        <f t="shared" si="25"/>
        <v>-0.29827590530195836</v>
      </c>
      <c r="J74" s="34">
        <f t="shared" si="25"/>
        <v>-0.23844742291049315</v>
      </c>
      <c r="K74" s="35">
        <f t="shared" si="25"/>
        <v>-0.20190462504752582</v>
      </c>
      <c r="L74" s="32">
        <f>L16/345686-1</f>
        <v>-0.08165792077203016</v>
      </c>
      <c r="M74" s="32">
        <f>M16/331849-1</f>
        <v>-0.15877100729548677</v>
      </c>
      <c r="N74" s="32">
        <f>N16/436517-1</f>
        <v>-0.2609405819246444</v>
      </c>
      <c r="O74" s="34">
        <f>(O16/P16)-1</f>
        <v>-0.27014838299462274</v>
      </c>
      <c r="P74" s="34">
        <f>P16/501147-1</f>
        <v>-0.08676097033405372</v>
      </c>
    </row>
    <row r="75" spans="2:16" ht="11.25">
      <c r="B75" s="2" t="s">
        <v>15</v>
      </c>
      <c r="C75" s="32">
        <f t="shared" si="25"/>
        <v>0.6707078607743449</v>
      </c>
      <c r="D75" s="32">
        <f t="shared" si="25"/>
        <v>1.5805931656995487</v>
      </c>
      <c r="E75" s="32">
        <f t="shared" si="25"/>
        <v>-0.4026880330834841</v>
      </c>
      <c r="F75" s="33">
        <f t="shared" si="25"/>
        <v>-0.2333019755409219</v>
      </c>
      <c r="G75" s="34">
        <f t="shared" si="25"/>
        <v>0.500586854460094</v>
      </c>
      <c r="H75" s="34">
        <f t="shared" si="25"/>
        <v>-0.016175071360608917</v>
      </c>
      <c r="I75" s="34">
        <f t="shared" si="25"/>
        <v>0.48979591836734704</v>
      </c>
      <c r="J75" s="34">
        <f t="shared" si="25"/>
        <v>-0.2734107997265892</v>
      </c>
      <c r="K75" s="35">
        <f t="shared" si="25"/>
        <v>-0.3686550574286773</v>
      </c>
      <c r="L75" s="32">
        <f>(L17/2733)-1</f>
        <v>0.15367727771679474</v>
      </c>
      <c r="M75" s="32">
        <f>(M17/4948)-1</f>
        <v>-0.47514147130153594</v>
      </c>
      <c r="N75" s="32">
        <f>(N17/4396)-1</f>
        <v>-0.0015923566878981443</v>
      </c>
      <c r="O75" s="34">
        <f>(O17/P17)-1</f>
        <v>0.2988450433108758</v>
      </c>
      <c r="P75" s="34">
        <f>(P17/5750)-1</f>
        <v>-0.27721739130434786</v>
      </c>
    </row>
    <row r="76" spans="2:16" ht="11.25">
      <c r="B76" s="2" t="s">
        <v>16</v>
      </c>
      <c r="C76" s="32">
        <f aca="true" t="shared" si="26" ref="C76:K76">(C21/G21)-1</f>
        <v>-0.2658880859486614</v>
      </c>
      <c r="D76" s="32">
        <f t="shared" si="26"/>
        <v>-0.21109913385528956</v>
      </c>
      <c r="E76" s="32">
        <f t="shared" si="26"/>
        <v>-0.17760187475589118</v>
      </c>
      <c r="F76" s="33">
        <f t="shared" si="26"/>
        <v>-0.23175132063489445</v>
      </c>
      <c r="G76" s="34">
        <f t="shared" si="26"/>
        <v>-0.2686080576337778</v>
      </c>
      <c r="H76" s="34">
        <f t="shared" si="26"/>
        <v>-0.3270485674742686</v>
      </c>
      <c r="I76" s="34">
        <f t="shared" si="26"/>
        <v>-0.3056760822088197</v>
      </c>
      <c r="J76" s="34">
        <f t="shared" si="26"/>
        <v>-0.237965200504049</v>
      </c>
      <c r="K76" s="35">
        <f t="shared" si="26"/>
        <v>-0.19916562953586237</v>
      </c>
      <c r="L76" s="32">
        <f>(L21/342952)-1</f>
        <v>-0.08353063985630638</v>
      </c>
      <c r="M76" s="32">
        <f>(M21/326901)-1</f>
        <v>-0.1539823983407821</v>
      </c>
      <c r="N76" s="32">
        <f>(N21/432120)-1</f>
        <v>-0.2635772470610016</v>
      </c>
      <c r="O76" s="34">
        <f>(O21/P21)-1</f>
        <v>-0.2753626703652171</v>
      </c>
      <c r="P76" s="34">
        <f>(P21/495398)-1</f>
        <v>-0.08455221862018014</v>
      </c>
    </row>
    <row r="77" spans="1:16" ht="11.25">
      <c r="A77" s="2" t="s">
        <v>66</v>
      </c>
      <c r="C77" s="32">
        <f aca="true" t="shared" si="27" ref="C77:K77">(C25/G25)-1</f>
        <v>0.12016407196793133</v>
      </c>
      <c r="D77" s="32">
        <f t="shared" si="27"/>
        <v>0.11310505383645353</v>
      </c>
      <c r="E77" s="32">
        <f t="shared" si="27"/>
        <v>0.19491189863393377</v>
      </c>
      <c r="F77" s="33">
        <f t="shared" si="27"/>
        <v>-0.1524060034039919</v>
      </c>
      <c r="G77" s="34">
        <f t="shared" si="27"/>
        <v>-0.1477037978706499</v>
      </c>
      <c r="H77" s="34">
        <f t="shared" si="27"/>
        <v>-0.1401284510801568</v>
      </c>
      <c r="I77" s="34">
        <f t="shared" si="27"/>
        <v>-0.11066114974909769</v>
      </c>
      <c r="J77" s="34">
        <f t="shared" si="27"/>
        <v>0.027912524850894682</v>
      </c>
      <c r="K77" s="35">
        <f t="shared" si="27"/>
        <v>0.04016528925619833</v>
      </c>
      <c r="L77" s="32">
        <f>(L25/11597)-1</f>
        <v>0.03380184530482011</v>
      </c>
      <c r="M77" s="32">
        <f>(M25/11094)-1</f>
        <v>0.023886785649900766</v>
      </c>
      <c r="N77" s="32">
        <f>(N25/2892)-1</f>
        <v>3.34820193637621</v>
      </c>
      <c r="O77" s="34">
        <f>(O25/P25)-1</f>
        <v>3.4289897510980962</v>
      </c>
      <c r="P77" s="34">
        <f>(P25/3449)-1</f>
        <v>-0.20788634386778782</v>
      </c>
    </row>
    <row r="78" spans="1:16" ht="11.25">
      <c r="A78" s="3" t="s">
        <v>67</v>
      </c>
      <c r="B78" s="3"/>
      <c r="C78" s="36">
        <f aca="true" t="shared" si="28" ref="C78:J78">(C40/G40)-1</f>
        <v>-2.7598870056497176</v>
      </c>
      <c r="D78" s="36">
        <f t="shared" si="28"/>
        <v>-6.595238095238095</v>
      </c>
      <c r="E78" s="36">
        <f t="shared" si="28"/>
        <v>-2.5843373493975905</v>
      </c>
      <c r="F78" s="37">
        <f t="shared" si="28"/>
        <v>-0.32647058823529407</v>
      </c>
      <c r="G78" s="36">
        <f t="shared" si="28"/>
        <v>-1.3084967320261438</v>
      </c>
      <c r="H78" s="36">
        <f t="shared" si="28"/>
        <v>-1.074248674130819</v>
      </c>
      <c r="I78" s="36">
        <f t="shared" si="28"/>
        <v>-1.3120300751879699</v>
      </c>
      <c r="J78" s="36">
        <f t="shared" si="28"/>
        <v>-0.2887029288702929</v>
      </c>
      <c r="K78" s="38">
        <f>(K39/O39)-1</f>
        <v>-0.06019656019656017</v>
      </c>
      <c r="L78" s="36">
        <f>(L39/1938)-1</f>
        <v>-0.12435500515995868</v>
      </c>
      <c r="M78" s="36">
        <f>(M39/1439)-1</f>
        <v>-0.26059763724808893</v>
      </c>
      <c r="N78" s="36">
        <f>(N39/1118)-1</f>
        <v>-0.5724508050089445</v>
      </c>
      <c r="O78" s="36">
        <f>(O39/P39)-1</f>
        <v>1.184257602862254</v>
      </c>
      <c r="P78" s="36">
        <f>(P39/2128)-1</f>
        <v>-0.47462406015037595</v>
      </c>
    </row>
    <row r="80" ht="11.25">
      <c r="A80" s="2" t="s">
        <v>68</v>
      </c>
    </row>
    <row r="81" ht="11.25">
      <c r="A81" s="2" t="s">
        <v>69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2017-06-16T16:14:27Z</dcterms:created>
  <dcterms:modified xsi:type="dcterms:W3CDTF">2017-06-16T16:14:30Z</dcterms:modified>
  <cp:category/>
  <cp:version/>
  <cp:contentType/>
  <cp:contentStatus/>
</cp:coreProperties>
</file>