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okyo" sheetId="1" r:id="rId1"/>
  </sheets>
  <definedNames/>
  <calcPr fullCalcOnLoad="1"/>
</workbook>
</file>

<file path=xl/sharedStrings.xml><?xml version="1.0" encoding="utf-8"?>
<sst xmlns="http://schemas.openxmlformats.org/spreadsheetml/2006/main" count="89" uniqueCount="68">
  <si>
    <t>CUADRO No. 18-33</t>
  </si>
  <si>
    <t>THE BANK OF TOKYO-MITSUBISHI, LTD.</t>
  </si>
  <si>
    <t>ESTADISTICA FINANCIERA. TRIMESTRES  2000, 2001 Y 2002</t>
  </si>
  <si>
    <t>(En miles de balboas)</t>
  </si>
  <si>
    <t xml:space="preserve">Año 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</si>
  <si>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</si>
  <si>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</si>
  <si>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</si>
  <si>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</si>
  <si>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</si>
  <si>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</si>
  <si>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</si>
  <si>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</si>
  <si>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</si>
  <si>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</si>
  <si>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</si>
  <si>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</si>
  <si>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</si>
  <si>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</si>
  <si>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</si>
  <si>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</si>
  <si>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</si>
  <si>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</si>
  <si>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</si>
  <si>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</si>
  <si>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</si>
  <si>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</si>
  <si>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</si>
  <si>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</si>
  <si>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</si>
  <si>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</si>
  <si>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</si>
  <si>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</si>
  <si>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</si>
  <si>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</si>
  <si>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</si>
  <si>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</si>
  <si>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</si>
  <si>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</si>
  <si>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</si>
  <si>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</si>
  <si>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Activos Generadores de Ingreso</t>
  </si>
  <si>
    <t>Patrimonio /Préstamos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</si>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</sst>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_(* #,##0.0_);_(* \(#,##0.0\);_(* &quot;-&quot;??_);_(@_)"/>
    <numFmt numFmtId="195" formatCode="_(* #,##0_);_(* \(#,##0\);_(* &quot;-&quot;??_);_(@_)"/>
    <numFmt numFmtId="196" formatCode="_(* #,##0.000_);_(* \(#,##0.000\);_(* &quot;-&quot;??_);_(@_)"/>
    <numFmt numFmtId="197" formatCode="0.0%"/>
    <numFmt numFmtId="198" formatCode="_(* #,##0.0000_);_(* \(#,##0.0000\);_(* &quot;-&quot;??_);_(@_)"/>
    <numFmt numFmtId="199" formatCode="0.00000"/>
    <numFmt numFmtId="200" formatCode="0.0000"/>
    <numFmt numFmtId="201" formatCode="0.000"/>
    <numFmt numFmtId="202" formatCode="0.0"/>
    <numFmt numFmtId="203" formatCode="#,##0.0"/>
  </numFmts>
  <fonts count="38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5" fontId="2" fillId="0" borderId="0" xfId="46" applyNumberFormat="1" applyFont="1" applyBorder="1" applyAlignment="1">
      <alignment/>
    </xf>
    <xf numFmtId="0" fontId="2" fillId="0" borderId="15" xfId="0" applyFont="1" applyBorder="1" applyAlignment="1">
      <alignment/>
    </xf>
    <xf numFmtId="195" fontId="2" fillId="0" borderId="0" xfId="46" applyNumberFormat="1" applyFont="1" applyAlignment="1">
      <alignment/>
    </xf>
    <xf numFmtId="195" fontId="2" fillId="0" borderId="16" xfId="46" applyNumberFormat="1" applyFont="1" applyBorder="1" applyAlignment="1">
      <alignment/>
    </xf>
    <xf numFmtId="195" fontId="3" fillId="0" borderId="0" xfId="46" applyNumberFormat="1" applyFont="1" applyAlignment="1">
      <alignment/>
    </xf>
    <xf numFmtId="195" fontId="3" fillId="0" borderId="0" xfId="46" applyNumberFormat="1" applyFont="1" applyBorder="1" applyAlignment="1">
      <alignment/>
    </xf>
    <xf numFmtId="195" fontId="3" fillId="0" borderId="15" xfId="46" applyNumberFormat="1" applyFont="1" applyBorder="1" applyAlignment="1">
      <alignment/>
    </xf>
    <xf numFmtId="195" fontId="3" fillId="0" borderId="16" xfId="46" applyNumberFormat="1" applyFont="1" applyBorder="1" applyAlignment="1">
      <alignment/>
    </xf>
    <xf numFmtId="195" fontId="3" fillId="0" borderId="10" xfId="46" applyNumberFormat="1" applyFont="1" applyBorder="1" applyAlignment="1">
      <alignment/>
    </xf>
    <xf numFmtId="195" fontId="3" fillId="0" borderId="13" xfId="46" applyNumberFormat="1" applyFont="1" applyBorder="1" applyAlignment="1">
      <alignment/>
    </xf>
    <xf numFmtId="195" fontId="3" fillId="0" borderId="14" xfId="46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95" fontId="3" fillId="0" borderId="15" xfId="0" applyNumberFormat="1" applyFont="1" applyBorder="1" applyAlignment="1">
      <alignment/>
    </xf>
    <xf numFmtId="195" fontId="3" fillId="0" borderId="0" xfId="0" applyNumberFormat="1" applyFont="1" applyAlignment="1">
      <alignment/>
    </xf>
    <xf numFmtId="195" fontId="3" fillId="0" borderId="13" xfId="0" applyNumberFormat="1" applyFont="1" applyBorder="1" applyAlignment="1">
      <alignment/>
    </xf>
    <xf numFmtId="195" fontId="3" fillId="0" borderId="10" xfId="0" applyNumberFormat="1" applyFont="1" applyBorder="1" applyAlignment="1">
      <alignment/>
    </xf>
    <xf numFmtId="43" fontId="3" fillId="0" borderId="15" xfId="46" applyFont="1" applyBorder="1" applyAlignment="1">
      <alignment/>
    </xf>
    <xf numFmtId="43" fontId="3" fillId="0" borderId="0" xfId="46" applyFont="1" applyAlignment="1">
      <alignment/>
    </xf>
    <xf numFmtId="10" fontId="3" fillId="0" borderId="0" xfId="52" applyNumberFormat="1" applyFont="1" applyBorder="1" applyAlignment="1">
      <alignment/>
    </xf>
    <xf numFmtId="10" fontId="3" fillId="0" borderId="15" xfId="52" applyNumberFormat="1" applyFont="1" applyBorder="1" applyAlignment="1">
      <alignment/>
    </xf>
    <xf numFmtId="10" fontId="3" fillId="0" borderId="0" xfId="52" applyNumberFormat="1" applyFont="1" applyAlignment="1">
      <alignment/>
    </xf>
    <xf numFmtId="10" fontId="3" fillId="0" borderId="16" xfId="52" applyNumberFormat="1" applyFont="1" applyBorder="1" applyAlignment="1">
      <alignment/>
    </xf>
    <xf numFmtId="10" fontId="3" fillId="0" borderId="10" xfId="52" applyNumberFormat="1" applyFont="1" applyBorder="1" applyAlignment="1">
      <alignment/>
    </xf>
    <xf numFmtId="10" fontId="3" fillId="0" borderId="13" xfId="52" applyNumberFormat="1" applyFont="1" applyBorder="1" applyAlignment="1">
      <alignment/>
    </xf>
    <xf numFmtId="10" fontId="3" fillId="0" borderId="14" xfId="52" applyNumberFormat="1" applyFont="1" applyBorder="1" applyAlignment="1">
      <alignment/>
    </xf>
    <xf numFmtId="197" fontId="3" fillId="0" borderId="0" xfId="52" applyNumberFormat="1" applyFont="1" applyAlignment="1">
      <alignment/>
    </xf>
    <xf numFmtId="197" fontId="3" fillId="0" borderId="16" xfId="52" applyNumberFormat="1" applyFont="1" applyBorder="1" applyAlignment="1">
      <alignment/>
    </xf>
    <xf numFmtId="197" fontId="3" fillId="0" borderId="0" xfId="52" applyNumberFormat="1" applyFont="1" applyBorder="1" applyAlignment="1">
      <alignment/>
    </xf>
    <xf numFmtId="197" fontId="3" fillId="0" borderId="15" xfId="52" applyNumberFormat="1" applyFont="1" applyBorder="1" applyAlignment="1">
      <alignment/>
    </xf>
    <xf numFmtId="197" fontId="3" fillId="0" borderId="10" xfId="52" applyNumberFormat="1" applyFont="1" applyBorder="1" applyAlignment="1">
      <alignment/>
    </xf>
    <xf numFmtId="197" fontId="3" fillId="0" borderId="13" xfId="52" applyNumberFormat="1" applyFont="1" applyBorder="1" applyAlignment="1">
      <alignment/>
    </xf>
    <xf numFmtId="197" fontId="3" fillId="0" borderId="14" xfId="52" applyNumberFormat="1" applyFont="1" applyBorder="1" applyAlignment="1">
      <alignment/>
    </xf>
    <xf numFmtId="10" fontId="3" fillId="0" borderId="0" xfId="52" applyNumberFormat="1" applyFont="1" applyFill="1" applyBorder="1" applyAlignment="1">
      <alignment/>
    </xf>
    <xf numFmtId="10" fontId="3" fillId="0" borderId="16" xfId="52" applyNumberFormat="1" applyFont="1" applyFill="1" applyBorder="1" applyAlignment="1">
      <alignment/>
    </xf>
    <xf numFmtId="10" fontId="3" fillId="0" borderId="10" xfId="52" applyNumberFormat="1" applyFont="1" applyFill="1" applyBorder="1" applyAlignment="1">
      <alignment/>
    </xf>
    <xf numFmtId="10" fontId="3" fillId="0" borderId="14" xfId="52" applyNumberFormat="1" applyFont="1" applyFill="1" applyBorder="1" applyAlignment="1">
      <alignment/>
    </xf>
    <xf numFmtId="3" fontId="3" fillId="0" borderId="10" xfId="46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247650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3" sqref="G23"/>
    </sheetView>
  </sheetViews>
  <sheetFormatPr defaultColWidth="11.421875" defaultRowHeight="12.75"/>
  <cols>
    <col min="1" max="1" width="2.140625" style="2" customWidth="1"/>
    <col min="2" max="2" width="27.8515625" style="2" customWidth="1"/>
    <col min="3" max="3" width="8.140625" style="2" customWidth="1"/>
    <col min="4" max="4" width="8.28125" style="2" customWidth="1"/>
    <col min="5" max="5" width="7.57421875" style="2" customWidth="1"/>
    <col min="6" max="6" width="7.7109375" style="2" customWidth="1"/>
    <col min="7" max="7" width="8.7109375" style="2" customWidth="1"/>
    <col min="8" max="8" width="8.8515625" style="2" customWidth="1"/>
    <col min="9" max="9" width="9.00390625" style="2" customWidth="1"/>
    <col min="10" max="11" width="8.7109375" style="2" customWidth="1"/>
    <col min="12" max="12" width="7.7109375" style="2" bestFit="1" customWidth="1"/>
    <col min="13" max="14" width="8.8515625" style="2" customWidth="1"/>
    <col min="15" max="16" width="7.421875" style="2" hidden="1" customWidth="1"/>
    <col min="17" max="17" width="11.421875" style="2" customWidth="1"/>
    <col min="18" max="16384" width="11.421875" style="1" customWidth="1"/>
  </cols>
  <sheetData>
    <row r="1" spans="2:16" ht="11.25">
      <c r="B1" s="53"/>
      <c r="C1" s="53"/>
      <c r="D1" s="53"/>
      <c r="E1" s="53"/>
      <c r="F1" s="53"/>
      <c r="G1" s="53"/>
      <c r="H1" s="53" t="s">
        <v>0</v>
      </c>
      <c r="I1" s="53"/>
      <c r="J1" s="53"/>
      <c r="K1" s="53"/>
      <c r="L1" s="53"/>
      <c r="M1" s="53"/>
      <c r="N1" s="53"/>
      <c r="O1" s="53"/>
      <c r="P1" s="53"/>
    </row>
    <row r="2" spans="2:16" ht="11.25">
      <c r="B2" s="53"/>
      <c r="C2" s="53"/>
      <c r="D2" s="53"/>
      <c r="E2" s="53"/>
      <c r="F2" s="53"/>
      <c r="G2" s="53"/>
      <c r="H2" s="53" t="s">
        <v>1</v>
      </c>
      <c r="I2" s="53"/>
      <c r="J2" s="53"/>
      <c r="K2" s="53"/>
      <c r="L2" s="53"/>
      <c r="M2" s="53"/>
      <c r="N2" s="53"/>
      <c r="O2" s="53"/>
      <c r="P2" s="53"/>
    </row>
    <row r="3" spans="2:16" ht="11.25">
      <c r="B3" s="53"/>
      <c r="C3" s="53"/>
      <c r="D3" s="53"/>
      <c r="E3" s="53"/>
      <c r="F3" s="53"/>
      <c r="G3" s="53"/>
      <c r="H3" s="53" t="s">
        <v>2</v>
      </c>
      <c r="I3" s="53"/>
      <c r="J3" s="53"/>
      <c r="K3" s="53"/>
      <c r="L3" s="53"/>
      <c r="M3" s="53"/>
      <c r="N3" s="53"/>
      <c r="O3" s="53"/>
      <c r="P3" s="53"/>
    </row>
    <row r="4" spans="1:16" ht="11.25">
      <c r="A4" s="1"/>
      <c r="B4" s="52"/>
      <c r="C4" s="52"/>
      <c r="D4" s="52"/>
      <c r="E4" s="52"/>
      <c r="F4" s="52"/>
      <c r="G4" s="52"/>
      <c r="H4" s="52" t="s">
        <v>3</v>
      </c>
      <c r="I4" s="52"/>
      <c r="J4" s="52"/>
      <c r="K4" s="52"/>
      <c r="L4" s="52"/>
      <c r="M4" s="52"/>
      <c r="N4" s="52"/>
      <c r="O4" s="52"/>
      <c r="P4" s="52"/>
    </row>
    <row r="5" spans="1:16" ht="11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ht="11.25">
      <c r="A6" s="3"/>
      <c r="B6" s="3"/>
      <c r="C6" s="3"/>
      <c r="D6" s="3"/>
      <c r="E6" s="3"/>
      <c r="F6" s="3"/>
      <c r="G6" s="3"/>
      <c r="H6" s="3"/>
      <c r="I6" s="3"/>
      <c r="J6" s="3"/>
      <c r="K6" s="4"/>
      <c r="L6" s="4"/>
      <c r="M6" s="4"/>
      <c r="N6" s="4"/>
      <c r="O6" s="3"/>
      <c r="P6" s="3"/>
    </row>
    <row r="7" spans="1:16" ht="11.25">
      <c r="A7" s="5"/>
      <c r="B7" s="5"/>
      <c r="C7" s="55">
        <v>2002</v>
      </c>
      <c r="D7" s="55"/>
      <c r="E7" s="55"/>
      <c r="F7" s="56"/>
      <c r="G7" s="55">
        <v>2001</v>
      </c>
      <c r="H7" s="55"/>
      <c r="I7" s="55"/>
      <c r="J7" s="55"/>
      <c r="K7" s="54">
        <v>2000</v>
      </c>
      <c r="L7" s="55"/>
      <c r="M7" s="55"/>
      <c r="N7" s="55"/>
      <c r="O7" s="55" t="s">
        <v>4</v>
      </c>
      <c r="P7" s="55"/>
    </row>
    <row r="8" spans="1:16" ht="11.25">
      <c r="A8" s="6"/>
      <c r="B8" s="6"/>
      <c r="C8" s="7" t="s">
        <v>5</v>
      </c>
      <c r="D8" s="6" t="s">
        <v>6</v>
      </c>
      <c r="E8" s="8" t="s">
        <v>7</v>
      </c>
      <c r="F8" s="9" t="s">
        <v>8</v>
      </c>
      <c r="G8" s="7" t="s">
        <v>5</v>
      </c>
      <c r="H8" s="6" t="s">
        <v>6</v>
      </c>
      <c r="I8" s="6" t="s">
        <v>7</v>
      </c>
      <c r="J8" s="6" t="s">
        <v>8</v>
      </c>
      <c r="K8" s="10" t="s">
        <v>5</v>
      </c>
      <c r="L8" s="6" t="s">
        <v>6</v>
      </c>
      <c r="M8" s="6" t="s">
        <v>7</v>
      </c>
      <c r="N8" s="11" t="s">
        <v>8</v>
      </c>
      <c r="O8" s="12" t="s">
        <v>9</v>
      </c>
      <c r="P8" s="12" t="s">
        <v>10</v>
      </c>
    </row>
    <row r="9" spans="1:16" ht="11.25">
      <c r="A9" s="13" t="s">
        <v>11</v>
      </c>
      <c r="B9" s="13"/>
      <c r="C9" s="13"/>
      <c r="D9" s="13"/>
      <c r="E9" s="14"/>
      <c r="F9" s="15"/>
      <c r="G9" s="13"/>
      <c r="H9" s="13"/>
      <c r="I9" s="13"/>
      <c r="J9" s="16"/>
      <c r="K9" s="17"/>
      <c r="L9" s="14"/>
      <c r="M9" s="14"/>
      <c r="N9" s="14"/>
      <c r="O9" s="16"/>
      <c r="P9" s="16"/>
    </row>
    <row r="10" spans="1:16" ht="11.25">
      <c r="A10" s="2" t="s">
        <v>12</v>
      </c>
      <c r="C10" s="18">
        <v>3094</v>
      </c>
      <c r="D10" s="18">
        <v>287362</v>
      </c>
      <c r="E10" s="19">
        <v>923342</v>
      </c>
      <c r="F10" s="20">
        <v>896157</v>
      </c>
      <c r="G10" s="18">
        <v>993297</v>
      </c>
      <c r="H10" s="18">
        <v>1074494</v>
      </c>
      <c r="I10" s="18">
        <v>1045567</v>
      </c>
      <c r="J10" s="18">
        <v>1027931</v>
      </c>
      <c r="K10" s="21">
        <v>1023440</v>
      </c>
      <c r="L10" s="19">
        <v>849129</v>
      </c>
      <c r="M10" s="19">
        <v>1036458</v>
      </c>
      <c r="N10" s="19">
        <v>1021354</v>
      </c>
      <c r="O10" s="18">
        <v>1259929</v>
      </c>
      <c r="P10" s="18">
        <v>1446090</v>
      </c>
    </row>
    <row r="11" spans="1:16" ht="11.25">
      <c r="A11" s="2" t="s">
        <v>13</v>
      </c>
      <c r="C11" s="18">
        <v>3094</v>
      </c>
      <c r="D11" s="18">
        <v>70098</v>
      </c>
      <c r="E11" s="19">
        <v>85302</v>
      </c>
      <c r="F11" s="20">
        <v>135517</v>
      </c>
      <c r="G11" s="18">
        <v>114657</v>
      </c>
      <c r="H11" s="18">
        <v>101592</v>
      </c>
      <c r="I11" s="18">
        <v>148848</v>
      </c>
      <c r="J11" s="18">
        <v>158418</v>
      </c>
      <c r="K11" s="21">
        <v>350661</v>
      </c>
      <c r="L11" s="19">
        <v>205534</v>
      </c>
      <c r="M11" s="19">
        <v>165378</v>
      </c>
      <c r="N11" s="19">
        <v>165118</v>
      </c>
      <c r="O11" s="18">
        <v>181699</v>
      </c>
      <c r="P11" s="18">
        <v>58518</v>
      </c>
    </row>
    <row r="12" spans="1:16" ht="11.25">
      <c r="A12" s="2" t="s">
        <v>14</v>
      </c>
      <c r="C12" s="19">
        <f aca="true" t="shared" si="0" ref="C12:P12">C13+C14</f>
        <v>0</v>
      </c>
      <c r="D12" s="19">
        <f t="shared" si="0"/>
        <v>212626</v>
      </c>
      <c r="E12" s="19">
        <f t="shared" si="0"/>
        <v>827819</v>
      </c>
      <c r="F12" s="20">
        <f t="shared" si="0"/>
        <v>747104</v>
      </c>
      <c r="G12" s="18">
        <f t="shared" si="0"/>
        <v>860123</v>
      </c>
      <c r="H12" s="18">
        <f t="shared" si="0"/>
        <v>948890</v>
      </c>
      <c r="I12" s="18">
        <f t="shared" si="0"/>
        <v>878815</v>
      </c>
      <c r="J12" s="18">
        <f t="shared" si="0"/>
        <v>849995</v>
      </c>
      <c r="K12" s="21">
        <f t="shared" si="0"/>
        <v>654497</v>
      </c>
      <c r="L12" s="19">
        <f t="shared" si="0"/>
        <v>626207</v>
      </c>
      <c r="M12" s="19">
        <f t="shared" si="0"/>
        <v>850386</v>
      </c>
      <c r="N12" s="19">
        <f t="shared" si="0"/>
        <v>834400</v>
      </c>
      <c r="O12" s="18">
        <f t="shared" si="0"/>
        <v>1054288</v>
      </c>
      <c r="P12" s="18">
        <f t="shared" si="0"/>
        <v>1357582</v>
      </c>
    </row>
    <row r="13" spans="2:16" ht="11.25">
      <c r="B13" s="2" t="s">
        <v>15</v>
      </c>
      <c r="C13" s="18">
        <v>0</v>
      </c>
      <c r="D13" s="18">
        <v>883</v>
      </c>
      <c r="E13" s="19">
        <v>11920</v>
      </c>
      <c r="F13" s="20">
        <v>13483</v>
      </c>
      <c r="G13" s="18">
        <v>23745</v>
      </c>
      <c r="H13" s="18">
        <v>34378</v>
      </c>
      <c r="I13" s="18">
        <v>17158</v>
      </c>
      <c r="J13" s="18">
        <v>16009</v>
      </c>
      <c r="K13" s="21">
        <v>5772</v>
      </c>
      <c r="L13" s="19">
        <v>9553</v>
      </c>
      <c r="M13" s="19">
        <v>10871</v>
      </c>
      <c r="N13" s="19">
        <v>13896</v>
      </c>
      <c r="O13" s="18">
        <v>27646</v>
      </c>
      <c r="P13" s="18">
        <v>41934</v>
      </c>
    </row>
    <row r="14" spans="2:16" ht="11.25">
      <c r="B14" s="2" t="s">
        <v>16</v>
      </c>
      <c r="C14" s="18">
        <v>0</v>
      </c>
      <c r="D14" s="18">
        <v>211743</v>
      </c>
      <c r="E14" s="19">
        <v>815899</v>
      </c>
      <c r="F14" s="20">
        <v>733621</v>
      </c>
      <c r="G14" s="18">
        <v>836378</v>
      </c>
      <c r="H14" s="18">
        <v>914512</v>
      </c>
      <c r="I14" s="18">
        <v>861657</v>
      </c>
      <c r="J14" s="18">
        <v>833986</v>
      </c>
      <c r="K14" s="21">
        <v>648725</v>
      </c>
      <c r="L14" s="19">
        <v>616654</v>
      </c>
      <c r="M14" s="19">
        <v>839515</v>
      </c>
      <c r="N14" s="19">
        <v>820504</v>
      </c>
      <c r="O14" s="18">
        <v>1026642</v>
      </c>
      <c r="P14" s="18">
        <v>1315648</v>
      </c>
    </row>
    <row r="15" spans="1:16" ht="11.25">
      <c r="A15" s="2" t="s">
        <v>17</v>
      </c>
      <c r="C15" s="18">
        <v>0</v>
      </c>
      <c r="D15" s="18">
        <v>0</v>
      </c>
      <c r="E15" s="19">
        <v>0</v>
      </c>
      <c r="F15" s="20">
        <v>0</v>
      </c>
      <c r="G15" s="18">
        <v>0</v>
      </c>
      <c r="H15" s="18">
        <v>0</v>
      </c>
      <c r="I15" s="18">
        <v>0</v>
      </c>
      <c r="J15" s="18">
        <v>1</v>
      </c>
      <c r="K15" s="21">
        <v>0</v>
      </c>
      <c r="L15" s="19">
        <v>0</v>
      </c>
      <c r="M15" s="19">
        <v>0</v>
      </c>
      <c r="N15" s="19">
        <v>0</v>
      </c>
      <c r="O15" s="18">
        <v>0</v>
      </c>
      <c r="P15" s="18">
        <v>0</v>
      </c>
    </row>
    <row r="16" spans="1:16" ht="11.25">
      <c r="A16" s="2" t="s">
        <v>18</v>
      </c>
      <c r="C16" s="19">
        <f aca="true" t="shared" si="1" ref="C16:P16">C17+C21</f>
        <v>0</v>
      </c>
      <c r="D16" s="19">
        <f t="shared" si="1"/>
        <v>268730</v>
      </c>
      <c r="E16" s="19">
        <f t="shared" si="1"/>
        <v>902150</v>
      </c>
      <c r="F16" s="20">
        <f t="shared" si="1"/>
        <v>867444</v>
      </c>
      <c r="G16" s="18">
        <f t="shared" si="1"/>
        <v>961590</v>
      </c>
      <c r="H16" s="18">
        <f t="shared" si="1"/>
        <v>1039755</v>
      </c>
      <c r="I16" s="18">
        <f t="shared" si="1"/>
        <v>1017506</v>
      </c>
      <c r="J16" s="18">
        <f t="shared" si="1"/>
        <v>993419</v>
      </c>
      <c r="K16" s="21">
        <f t="shared" si="1"/>
        <v>991391</v>
      </c>
      <c r="L16" s="19">
        <f t="shared" si="1"/>
        <v>819596</v>
      </c>
      <c r="M16" s="19">
        <f t="shared" si="1"/>
        <v>1003324</v>
      </c>
      <c r="N16" s="19">
        <f t="shared" si="1"/>
        <v>985509</v>
      </c>
      <c r="O16" s="18">
        <f t="shared" si="1"/>
        <v>1223562</v>
      </c>
      <c r="P16" s="18">
        <f t="shared" si="1"/>
        <v>1408017</v>
      </c>
    </row>
    <row r="17" spans="2:16" ht="11.25">
      <c r="B17" s="2" t="s">
        <v>15</v>
      </c>
      <c r="C17" s="19">
        <f aca="true" t="shared" si="2" ref="C17:P17">SUM(C18:C20)</f>
        <v>0</v>
      </c>
      <c r="D17" s="19">
        <f t="shared" si="2"/>
        <v>2976</v>
      </c>
      <c r="E17" s="19">
        <f t="shared" si="2"/>
        <v>4227</v>
      </c>
      <c r="F17" s="20">
        <f t="shared" si="2"/>
        <v>19307</v>
      </c>
      <c r="G17" s="18">
        <f t="shared" si="2"/>
        <v>9649</v>
      </c>
      <c r="H17" s="18">
        <f t="shared" si="2"/>
        <v>12638</v>
      </c>
      <c r="I17" s="18">
        <f t="shared" si="2"/>
        <v>17052</v>
      </c>
      <c r="J17" s="18">
        <f t="shared" si="2"/>
        <v>11681</v>
      </c>
      <c r="K17" s="21">
        <f t="shared" si="2"/>
        <v>43985</v>
      </c>
      <c r="L17" s="19">
        <f t="shared" si="2"/>
        <v>11809</v>
      </c>
      <c r="M17" s="19">
        <f t="shared" si="2"/>
        <v>7897</v>
      </c>
      <c r="N17" s="19">
        <f t="shared" si="2"/>
        <v>15715</v>
      </c>
      <c r="O17" s="18">
        <f t="shared" si="2"/>
        <v>14366</v>
      </c>
      <c r="P17" s="18">
        <f t="shared" si="2"/>
        <v>11498</v>
      </c>
    </row>
    <row r="18" spans="2:16" ht="11.25">
      <c r="B18" s="2" t="s">
        <v>19</v>
      </c>
      <c r="C18" s="18">
        <v>0</v>
      </c>
      <c r="D18" s="19">
        <v>0</v>
      </c>
      <c r="E18" s="19">
        <v>0</v>
      </c>
      <c r="F18" s="20">
        <v>0</v>
      </c>
      <c r="G18" s="18">
        <v>0</v>
      </c>
      <c r="H18" s="18">
        <v>0</v>
      </c>
      <c r="I18" s="18">
        <v>0</v>
      </c>
      <c r="J18" s="18">
        <v>0</v>
      </c>
      <c r="K18" s="21">
        <v>0</v>
      </c>
      <c r="L18" s="19">
        <v>0</v>
      </c>
      <c r="M18" s="19">
        <v>0</v>
      </c>
      <c r="N18" s="19">
        <v>0</v>
      </c>
      <c r="O18" s="18">
        <v>0</v>
      </c>
      <c r="P18" s="18">
        <v>0</v>
      </c>
    </row>
    <row r="19" spans="2:16" ht="11.25">
      <c r="B19" s="2" t="s">
        <v>20</v>
      </c>
      <c r="C19" s="18">
        <v>0</v>
      </c>
      <c r="D19" s="18">
        <v>2976</v>
      </c>
      <c r="E19" s="19">
        <v>4227</v>
      </c>
      <c r="F19" s="20">
        <f>5724+13583</f>
        <v>19307</v>
      </c>
      <c r="G19" s="18">
        <f>2557+7092</f>
        <v>9649</v>
      </c>
      <c r="H19" s="18">
        <v>12638</v>
      </c>
      <c r="I19" s="18">
        <v>12044</v>
      </c>
      <c r="J19" s="18">
        <v>11681</v>
      </c>
      <c r="K19" s="21">
        <v>14449</v>
      </c>
      <c r="L19" s="19">
        <v>11809</v>
      </c>
      <c r="M19" s="19">
        <v>7897</v>
      </c>
      <c r="N19" s="19">
        <v>15715</v>
      </c>
      <c r="O19" s="18">
        <v>14366</v>
      </c>
      <c r="P19" s="18">
        <v>11498</v>
      </c>
    </row>
    <row r="20" spans="2:16" ht="11.25">
      <c r="B20" s="2" t="s">
        <v>21</v>
      </c>
      <c r="C20" s="18">
        <v>0</v>
      </c>
      <c r="D20" s="18">
        <v>0</v>
      </c>
      <c r="E20" s="19">
        <v>0</v>
      </c>
      <c r="F20" s="20">
        <v>0</v>
      </c>
      <c r="G20" s="18">
        <v>0</v>
      </c>
      <c r="H20" s="18">
        <v>0</v>
      </c>
      <c r="I20" s="18">
        <v>5008</v>
      </c>
      <c r="J20" s="18">
        <v>0</v>
      </c>
      <c r="K20" s="21">
        <f>43985-K19</f>
        <v>29536</v>
      </c>
      <c r="L20" s="19">
        <v>0</v>
      </c>
      <c r="M20" s="19">
        <v>0</v>
      </c>
      <c r="N20" s="19">
        <v>0</v>
      </c>
      <c r="O20" s="18">
        <v>0</v>
      </c>
      <c r="P20" s="18">
        <v>0</v>
      </c>
    </row>
    <row r="21" spans="2:16" ht="11.25">
      <c r="B21" s="2" t="s">
        <v>16</v>
      </c>
      <c r="C21" s="19">
        <f>SUM(C22:C24)</f>
        <v>0</v>
      </c>
      <c r="D21" s="19">
        <f>SUM(D22:D24)</f>
        <v>265754</v>
      </c>
      <c r="E21" s="19">
        <f>SUM(E22:E24)</f>
        <v>897923</v>
      </c>
      <c r="F21" s="20">
        <f>SUM(F22:F24)</f>
        <v>848137</v>
      </c>
      <c r="G21" s="18">
        <f aca="true" t="shared" si="3" ref="G21:P21">SUM(G23:G24)</f>
        <v>951941</v>
      </c>
      <c r="H21" s="18">
        <f t="shared" si="3"/>
        <v>1027117</v>
      </c>
      <c r="I21" s="18">
        <f t="shared" si="3"/>
        <v>1000454</v>
      </c>
      <c r="J21" s="18">
        <f t="shared" si="3"/>
        <v>981738</v>
      </c>
      <c r="K21" s="21">
        <f t="shared" si="3"/>
        <v>947406</v>
      </c>
      <c r="L21" s="19">
        <f t="shared" si="3"/>
        <v>807787</v>
      </c>
      <c r="M21" s="19">
        <f t="shared" si="3"/>
        <v>995427</v>
      </c>
      <c r="N21" s="19">
        <f t="shared" si="3"/>
        <v>969794</v>
      </c>
      <c r="O21" s="18">
        <f t="shared" si="3"/>
        <v>1209196</v>
      </c>
      <c r="P21" s="18">
        <f t="shared" si="3"/>
        <v>1396519</v>
      </c>
    </row>
    <row r="22" spans="2:16" ht="11.25">
      <c r="B22" s="2" t="s">
        <v>19</v>
      </c>
      <c r="C22" s="19"/>
      <c r="D22" s="19">
        <v>323</v>
      </c>
      <c r="E22" s="19">
        <v>1241</v>
      </c>
      <c r="F22" s="20">
        <v>295</v>
      </c>
      <c r="G22" s="18">
        <v>0</v>
      </c>
      <c r="H22" s="18">
        <v>0</v>
      </c>
      <c r="I22" s="18">
        <v>0</v>
      </c>
      <c r="J22" s="18">
        <v>0</v>
      </c>
      <c r="K22" s="21">
        <v>0</v>
      </c>
      <c r="L22" s="19">
        <v>0</v>
      </c>
      <c r="M22" s="19">
        <v>0</v>
      </c>
      <c r="N22" s="19">
        <v>0</v>
      </c>
      <c r="O22" s="18"/>
      <c r="P22" s="18"/>
    </row>
    <row r="23" spans="2:16" ht="11.25">
      <c r="B23" s="2" t="s">
        <v>20</v>
      </c>
      <c r="C23" s="18">
        <v>0</v>
      </c>
      <c r="D23" s="18">
        <v>29176</v>
      </c>
      <c r="E23" s="19">
        <v>44432</v>
      </c>
      <c r="F23" s="20">
        <v>50258</v>
      </c>
      <c r="G23" s="18">
        <f>8913+21430</f>
        <v>30343</v>
      </c>
      <c r="H23" s="18">
        <v>44426</v>
      </c>
      <c r="I23" s="18">
        <v>75474</v>
      </c>
      <c r="J23" s="18">
        <v>100281</v>
      </c>
      <c r="K23" s="21">
        <v>107280</v>
      </c>
      <c r="L23" s="19">
        <v>70413</v>
      </c>
      <c r="M23" s="19">
        <v>56163</v>
      </c>
      <c r="N23" s="19">
        <v>104095</v>
      </c>
      <c r="O23" s="18">
        <v>45440</v>
      </c>
      <c r="P23" s="18">
        <v>55841</v>
      </c>
    </row>
    <row r="24" spans="2:16" ht="11.25">
      <c r="B24" s="2" t="s">
        <v>21</v>
      </c>
      <c r="C24" s="18">
        <v>0</v>
      </c>
      <c r="D24" s="18">
        <v>236255</v>
      </c>
      <c r="E24" s="19">
        <v>852250</v>
      </c>
      <c r="F24" s="20">
        <f>571+708780+88233</f>
        <v>797584</v>
      </c>
      <c r="G24" s="18">
        <v>921598</v>
      </c>
      <c r="H24" s="18">
        <v>982691</v>
      </c>
      <c r="I24" s="18">
        <v>924980</v>
      </c>
      <c r="J24" s="18">
        <v>881457</v>
      </c>
      <c r="K24" s="21">
        <f>947406-K23</f>
        <v>840126</v>
      </c>
      <c r="L24" s="19">
        <v>737374</v>
      </c>
      <c r="M24" s="19">
        <v>939264</v>
      </c>
      <c r="N24" s="19">
        <v>865699</v>
      </c>
      <c r="O24" s="18">
        <v>1163756</v>
      </c>
      <c r="P24" s="18">
        <v>1340678</v>
      </c>
    </row>
    <row r="25" spans="1:16" ht="11.25">
      <c r="A25" s="3" t="s">
        <v>22</v>
      </c>
      <c r="B25" s="3"/>
      <c r="C25" s="22">
        <v>3094</v>
      </c>
      <c r="D25" s="22">
        <v>13585</v>
      </c>
      <c r="E25" s="22">
        <v>11730</v>
      </c>
      <c r="F25" s="23">
        <v>17275</v>
      </c>
      <c r="G25" s="22">
        <v>16233</v>
      </c>
      <c r="H25" s="22">
        <v>14348</v>
      </c>
      <c r="I25" s="22">
        <v>11893</v>
      </c>
      <c r="J25" s="22">
        <v>16806</v>
      </c>
      <c r="K25" s="24">
        <v>12498</v>
      </c>
      <c r="L25" s="22">
        <v>13459</v>
      </c>
      <c r="M25" s="22">
        <v>11440</v>
      </c>
      <c r="N25" s="22">
        <v>12903</v>
      </c>
      <c r="O25" s="22">
        <v>13710</v>
      </c>
      <c r="P25" s="22">
        <v>10000</v>
      </c>
    </row>
    <row r="26" spans="1:16" ht="11.25">
      <c r="A26" s="13" t="s">
        <v>23</v>
      </c>
      <c r="E26" s="19"/>
      <c r="F26" s="25"/>
      <c r="H26" s="18"/>
      <c r="J26" s="18"/>
      <c r="K26" s="21"/>
      <c r="L26" s="19"/>
      <c r="M26" s="19"/>
      <c r="N26" s="19"/>
      <c r="O26" s="18"/>
      <c r="P26" s="18"/>
    </row>
    <row r="27" spans="1:16" ht="11.25">
      <c r="A27" s="2" t="s">
        <v>12</v>
      </c>
      <c r="C27" s="19">
        <f aca="true" t="shared" si="4" ref="C27:K27">(C10+G10)/2</f>
        <v>498195.5</v>
      </c>
      <c r="D27" s="19">
        <f t="shared" si="4"/>
        <v>680928</v>
      </c>
      <c r="E27" s="19">
        <f t="shared" si="4"/>
        <v>984454.5</v>
      </c>
      <c r="F27" s="20">
        <f t="shared" si="4"/>
        <v>962044</v>
      </c>
      <c r="G27" s="18">
        <f t="shared" si="4"/>
        <v>1008368.5</v>
      </c>
      <c r="H27" s="18">
        <f t="shared" si="4"/>
        <v>961811.5</v>
      </c>
      <c r="I27" s="18">
        <f t="shared" si="4"/>
        <v>1041012.5</v>
      </c>
      <c r="J27" s="18">
        <f t="shared" si="4"/>
        <v>1024642.5</v>
      </c>
      <c r="K27" s="21">
        <f t="shared" si="4"/>
        <v>1141684.5</v>
      </c>
      <c r="L27" s="19">
        <f>(L10+1027132)/2</f>
        <v>938130.5</v>
      </c>
      <c r="M27" s="19">
        <f>(M10+1037504)/2</f>
        <v>1036981</v>
      </c>
      <c r="N27" s="19">
        <f>(N10+1284738)/2</f>
        <v>1153046</v>
      </c>
      <c r="O27" s="18">
        <f>(O10+P10)/2</f>
        <v>1353009.5</v>
      </c>
      <c r="P27" s="18">
        <f>(P10+2002720)/2</f>
        <v>1724405</v>
      </c>
    </row>
    <row r="28" spans="1:16" ht="11.25">
      <c r="A28" s="2" t="s">
        <v>24</v>
      </c>
      <c r="C28" s="19">
        <f aca="true" t="shared" si="5" ref="C28:P28">C29+C30</f>
        <v>430061.5</v>
      </c>
      <c r="D28" s="19">
        <f t="shared" si="5"/>
        <v>580758</v>
      </c>
      <c r="E28" s="19">
        <f t="shared" si="5"/>
        <v>853317</v>
      </c>
      <c r="F28" s="20">
        <f t="shared" si="5"/>
        <v>798550</v>
      </c>
      <c r="G28" s="18">
        <f t="shared" si="5"/>
        <v>757310</v>
      </c>
      <c r="H28" s="18">
        <f t="shared" si="5"/>
        <v>787548.5</v>
      </c>
      <c r="I28" s="18">
        <f t="shared" si="5"/>
        <v>864600.5</v>
      </c>
      <c r="J28" s="18">
        <f t="shared" si="5"/>
        <v>842198</v>
      </c>
      <c r="K28" s="21">
        <f t="shared" si="5"/>
        <v>854392.5</v>
      </c>
      <c r="L28" s="19">
        <f t="shared" si="5"/>
        <v>784532.5</v>
      </c>
      <c r="M28" s="19">
        <f t="shared" si="5"/>
        <v>910059.5</v>
      </c>
      <c r="N28" s="19">
        <f t="shared" si="5"/>
        <v>991332</v>
      </c>
      <c r="O28" s="18">
        <f t="shared" si="5"/>
        <v>1205935</v>
      </c>
      <c r="P28" s="18">
        <f t="shared" si="5"/>
        <v>1279668.5</v>
      </c>
    </row>
    <row r="29" spans="2:16" ht="11.25">
      <c r="B29" s="2" t="s">
        <v>14</v>
      </c>
      <c r="C29" s="19">
        <f aca="true" t="shared" si="6" ref="C29:K29">(C12+G12)/2</f>
        <v>430061.5</v>
      </c>
      <c r="D29" s="19">
        <f t="shared" si="6"/>
        <v>580758</v>
      </c>
      <c r="E29" s="19">
        <f t="shared" si="6"/>
        <v>853317</v>
      </c>
      <c r="F29" s="20">
        <f t="shared" si="6"/>
        <v>798549.5</v>
      </c>
      <c r="G29" s="18">
        <f t="shared" si="6"/>
        <v>757310</v>
      </c>
      <c r="H29" s="18">
        <f t="shared" si="6"/>
        <v>787548.5</v>
      </c>
      <c r="I29" s="18">
        <f t="shared" si="6"/>
        <v>864600.5</v>
      </c>
      <c r="J29" s="18">
        <f t="shared" si="6"/>
        <v>842197.5</v>
      </c>
      <c r="K29" s="21">
        <f t="shared" si="6"/>
        <v>854392.5</v>
      </c>
      <c r="L29" s="19">
        <f>(L12+942858)/2</f>
        <v>784532.5</v>
      </c>
      <c r="M29" s="19">
        <f>(M12+969733)/2</f>
        <v>910059.5</v>
      </c>
      <c r="N29" s="19">
        <f>(N12+1148264)/2</f>
        <v>991332</v>
      </c>
      <c r="O29" s="18">
        <f>(O12+P12)/2</f>
        <v>1205935</v>
      </c>
      <c r="P29" s="18">
        <f>(P12+1201755)/2</f>
        <v>1279668.5</v>
      </c>
    </row>
    <row r="30" spans="2:16" ht="11.25">
      <c r="B30" s="2" t="s">
        <v>17</v>
      </c>
      <c r="C30" s="19">
        <f aca="true" t="shared" si="7" ref="C30:K30">(C15+G15)/2</f>
        <v>0</v>
      </c>
      <c r="D30" s="19">
        <f t="shared" si="7"/>
        <v>0</v>
      </c>
      <c r="E30" s="19">
        <f t="shared" si="7"/>
        <v>0</v>
      </c>
      <c r="F30" s="20">
        <f t="shared" si="7"/>
        <v>0.5</v>
      </c>
      <c r="G30" s="18">
        <f t="shared" si="7"/>
        <v>0</v>
      </c>
      <c r="H30" s="18">
        <f t="shared" si="7"/>
        <v>0</v>
      </c>
      <c r="I30" s="18">
        <f t="shared" si="7"/>
        <v>0</v>
      </c>
      <c r="J30" s="18">
        <f t="shared" si="7"/>
        <v>0.5</v>
      </c>
      <c r="K30" s="21">
        <f t="shared" si="7"/>
        <v>0</v>
      </c>
      <c r="L30" s="19">
        <v>0</v>
      </c>
      <c r="M30" s="19">
        <v>0</v>
      </c>
      <c r="N30" s="19">
        <v>0</v>
      </c>
      <c r="O30" s="18">
        <f>(O15+P15)/2</f>
        <v>0</v>
      </c>
      <c r="P30" s="18">
        <v>0</v>
      </c>
    </row>
    <row r="31" spans="1:16" ht="11.25">
      <c r="A31" s="3" t="s">
        <v>22</v>
      </c>
      <c r="B31" s="3"/>
      <c r="C31" s="22">
        <f aca="true" t="shared" si="8" ref="C31:K31">(C25+G25)/2</f>
        <v>9663.5</v>
      </c>
      <c r="D31" s="22">
        <f t="shared" si="8"/>
        <v>13966.5</v>
      </c>
      <c r="E31" s="22">
        <f t="shared" si="8"/>
        <v>11811.5</v>
      </c>
      <c r="F31" s="23">
        <f t="shared" si="8"/>
        <v>17040.5</v>
      </c>
      <c r="G31" s="22">
        <f t="shared" si="8"/>
        <v>14365.5</v>
      </c>
      <c r="H31" s="22">
        <f t="shared" si="8"/>
        <v>13903.5</v>
      </c>
      <c r="I31" s="22">
        <f t="shared" si="8"/>
        <v>11666.5</v>
      </c>
      <c r="J31" s="22">
        <f t="shared" si="8"/>
        <v>14854.5</v>
      </c>
      <c r="K31" s="24">
        <f t="shared" si="8"/>
        <v>13104</v>
      </c>
      <c r="L31" s="22">
        <f>(L25+10355)/2</f>
        <v>11907</v>
      </c>
      <c r="M31" s="22">
        <f>(M25+11188)/2</f>
        <v>11314</v>
      </c>
      <c r="N31" s="22">
        <f>(N25+8713)/2</f>
        <v>10808</v>
      </c>
      <c r="O31" s="22">
        <f>(O25+P25)/2</f>
        <v>11855</v>
      </c>
      <c r="P31" s="22">
        <f>(P25+6801)/2</f>
        <v>8400.5</v>
      </c>
    </row>
    <row r="32" spans="1:14" ht="11.25">
      <c r="A32" s="13" t="s">
        <v>25</v>
      </c>
      <c r="E32" s="19"/>
      <c r="F32" s="25"/>
      <c r="H32" s="18"/>
      <c r="J32" s="18"/>
      <c r="K32" s="26"/>
      <c r="L32" s="4"/>
      <c r="M32" s="4"/>
      <c r="N32" s="4"/>
    </row>
    <row r="33" spans="1:16" ht="11.25">
      <c r="A33" s="2" t="s">
        <v>26</v>
      </c>
      <c r="C33" s="18">
        <v>24424</v>
      </c>
      <c r="D33" s="18">
        <v>23266</v>
      </c>
      <c r="E33" s="19">
        <v>16099</v>
      </c>
      <c r="F33" s="27">
        <v>8390</v>
      </c>
      <c r="G33" s="28">
        <v>54135</v>
      </c>
      <c r="H33" s="18">
        <f>I33+14317</f>
        <v>42645</v>
      </c>
      <c r="I33" s="18">
        <f>J33+14011</f>
        <v>28328</v>
      </c>
      <c r="J33" s="18">
        <v>14317</v>
      </c>
      <c r="K33" s="21">
        <f>15416+L33</f>
        <v>65467</v>
      </c>
      <c r="L33" s="19">
        <f>16901+M33</f>
        <v>50051</v>
      </c>
      <c r="M33" s="19">
        <f>15214+N33</f>
        <v>33150</v>
      </c>
      <c r="N33" s="19">
        <v>17936</v>
      </c>
      <c r="O33" s="18">
        <v>61400</v>
      </c>
      <c r="P33" s="18">
        <v>86618</v>
      </c>
    </row>
    <row r="34" spans="1:16" ht="11.25">
      <c r="A34" s="2" t="s">
        <v>27</v>
      </c>
      <c r="C34" s="18">
        <v>17547</v>
      </c>
      <c r="D34" s="18">
        <v>17010</v>
      </c>
      <c r="E34" s="19">
        <v>11985</v>
      </c>
      <c r="F34" s="27">
        <v>6285</v>
      </c>
      <c r="G34" s="28">
        <v>44589</v>
      </c>
      <c r="H34" s="18">
        <f>I34+11565</f>
        <v>35549</v>
      </c>
      <c r="I34" s="18">
        <f>J34+11862</f>
        <v>23984</v>
      </c>
      <c r="J34" s="18">
        <v>12122</v>
      </c>
      <c r="K34" s="21">
        <f>13695+L34</f>
        <v>57765</v>
      </c>
      <c r="L34" s="19">
        <f>14607+M34</f>
        <v>44070</v>
      </c>
      <c r="M34" s="19">
        <f>13542+N34</f>
        <v>29463</v>
      </c>
      <c r="N34" s="19">
        <v>15921</v>
      </c>
      <c r="O34" s="18">
        <v>55507</v>
      </c>
      <c r="P34" s="18">
        <v>80056</v>
      </c>
    </row>
    <row r="35" spans="1:16" ht="11.25">
      <c r="A35" s="2" t="s">
        <v>28</v>
      </c>
      <c r="C35" s="19">
        <f aca="true" t="shared" si="9" ref="C35:P35">C33-C34</f>
        <v>6877</v>
      </c>
      <c r="D35" s="19">
        <f t="shared" si="9"/>
        <v>6256</v>
      </c>
      <c r="E35" s="19">
        <f t="shared" si="9"/>
        <v>4114</v>
      </c>
      <c r="F35" s="20">
        <f t="shared" si="9"/>
        <v>2105</v>
      </c>
      <c r="G35" s="18">
        <f t="shared" si="9"/>
        <v>9546</v>
      </c>
      <c r="H35" s="18">
        <f t="shared" si="9"/>
        <v>7096</v>
      </c>
      <c r="I35" s="18">
        <f t="shared" si="9"/>
        <v>4344</v>
      </c>
      <c r="J35" s="18">
        <f t="shared" si="9"/>
        <v>2195</v>
      </c>
      <c r="K35" s="21">
        <f t="shared" si="9"/>
        <v>7702</v>
      </c>
      <c r="L35" s="19">
        <f t="shared" si="9"/>
        <v>5981</v>
      </c>
      <c r="M35" s="19">
        <f t="shared" si="9"/>
        <v>3687</v>
      </c>
      <c r="N35" s="19">
        <f t="shared" si="9"/>
        <v>2015</v>
      </c>
      <c r="O35" s="18">
        <f t="shared" si="9"/>
        <v>5893</v>
      </c>
      <c r="P35" s="18">
        <f t="shared" si="9"/>
        <v>6562</v>
      </c>
    </row>
    <row r="36" spans="1:16" ht="11.25">
      <c r="A36" s="2" t="s">
        <v>29</v>
      </c>
      <c r="C36" s="18">
        <v>6518</v>
      </c>
      <c r="D36" s="18">
        <v>6507</v>
      </c>
      <c r="E36" s="19">
        <v>6460</v>
      </c>
      <c r="F36" s="27">
        <v>1507</v>
      </c>
      <c r="G36" s="28">
        <v>2930</v>
      </c>
      <c r="H36" s="18">
        <f>I36+104</f>
        <v>2828</v>
      </c>
      <c r="I36" s="18">
        <f>J36+108</f>
        <v>2724</v>
      </c>
      <c r="J36" s="18">
        <v>2616</v>
      </c>
      <c r="K36" s="21">
        <f>-2350+L36</f>
        <v>529</v>
      </c>
      <c r="L36" s="19">
        <f>2592+M36</f>
        <v>2879</v>
      </c>
      <c r="M36" s="19">
        <f>135+N36</f>
        <v>287</v>
      </c>
      <c r="N36" s="19">
        <v>152</v>
      </c>
      <c r="O36" s="18">
        <v>1587</v>
      </c>
      <c r="P36" s="18">
        <v>1921</v>
      </c>
    </row>
    <row r="37" spans="1:16" ht="11.25">
      <c r="A37" s="2" t="s">
        <v>30</v>
      </c>
      <c r="C37" s="19">
        <f aca="true" t="shared" si="10" ref="C37:P37">C35+C36</f>
        <v>13395</v>
      </c>
      <c r="D37" s="19">
        <f t="shared" si="10"/>
        <v>12763</v>
      </c>
      <c r="E37" s="19">
        <f t="shared" si="10"/>
        <v>10574</v>
      </c>
      <c r="F37" s="20">
        <f t="shared" si="10"/>
        <v>3612</v>
      </c>
      <c r="G37" s="18">
        <f t="shared" si="10"/>
        <v>12476</v>
      </c>
      <c r="H37" s="18">
        <f t="shared" si="10"/>
        <v>9924</v>
      </c>
      <c r="I37" s="18">
        <f t="shared" si="10"/>
        <v>7068</v>
      </c>
      <c r="J37" s="18">
        <f t="shared" si="10"/>
        <v>4811</v>
      </c>
      <c r="K37" s="21">
        <f t="shared" si="10"/>
        <v>8231</v>
      </c>
      <c r="L37" s="19">
        <f t="shared" si="10"/>
        <v>8860</v>
      </c>
      <c r="M37" s="19">
        <f t="shared" si="10"/>
        <v>3974</v>
      </c>
      <c r="N37" s="19">
        <f t="shared" si="10"/>
        <v>2167</v>
      </c>
      <c r="O37" s="18">
        <f t="shared" si="10"/>
        <v>7480</v>
      </c>
      <c r="P37" s="18">
        <f t="shared" si="10"/>
        <v>8483</v>
      </c>
    </row>
    <row r="38" spans="1:16" ht="11.25">
      <c r="A38" s="2" t="s">
        <v>31</v>
      </c>
      <c r="C38" s="18">
        <v>8560</v>
      </c>
      <c r="D38" s="18">
        <v>7437</v>
      </c>
      <c r="E38" s="19">
        <v>7103</v>
      </c>
      <c r="F38" s="27">
        <v>1870</v>
      </c>
      <c r="G38" s="28">
        <v>1935</v>
      </c>
      <c r="H38" s="18">
        <f>I38+401</f>
        <v>1268</v>
      </c>
      <c r="I38" s="18">
        <f>J38+364</f>
        <v>867</v>
      </c>
      <c r="J38" s="18">
        <v>503</v>
      </c>
      <c r="K38" s="21">
        <f>331+L38</f>
        <v>6539</v>
      </c>
      <c r="L38" s="19">
        <f>2865+M38</f>
        <v>6208</v>
      </c>
      <c r="M38" s="19">
        <f>368+N38</f>
        <v>3343</v>
      </c>
      <c r="N38" s="19">
        <v>2975</v>
      </c>
      <c r="O38" s="18">
        <v>1564</v>
      </c>
      <c r="P38" s="18">
        <v>1971</v>
      </c>
    </row>
    <row r="39" spans="1:16" ht="11.25">
      <c r="A39" s="2" t="s">
        <v>32</v>
      </c>
      <c r="C39" s="19">
        <f aca="true" t="shared" si="11" ref="C39:P39">C37-C38</f>
        <v>4835</v>
      </c>
      <c r="D39" s="19">
        <f t="shared" si="11"/>
        <v>5326</v>
      </c>
      <c r="E39" s="19">
        <f t="shared" si="11"/>
        <v>3471</v>
      </c>
      <c r="F39" s="20">
        <f t="shared" si="11"/>
        <v>1742</v>
      </c>
      <c r="G39" s="18">
        <f t="shared" si="11"/>
        <v>10541</v>
      </c>
      <c r="H39" s="18">
        <f t="shared" si="11"/>
        <v>8656</v>
      </c>
      <c r="I39" s="18">
        <f t="shared" si="11"/>
        <v>6201</v>
      </c>
      <c r="J39" s="18">
        <f t="shared" si="11"/>
        <v>4308</v>
      </c>
      <c r="K39" s="21">
        <f t="shared" si="11"/>
        <v>1692</v>
      </c>
      <c r="L39" s="19">
        <f t="shared" si="11"/>
        <v>2652</v>
      </c>
      <c r="M39" s="19">
        <f t="shared" si="11"/>
        <v>631</v>
      </c>
      <c r="N39" s="19">
        <f t="shared" si="11"/>
        <v>-808</v>
      </c>
      <c r="O39" s="18">
        <f t="shared" si="11"/>
        <v>5916</v>
      </c>
      <c r="P39" s="18">
        <f t="shared" si="11"/>
        <v>6512</v>
      </c>
    </row>
    <row r="40" spans="1:16" ht="11.25">
      <c r="A40" s="3" t="s">
        <v>33</v>
      </c>
      <c r="B40" s="3"/>
      <c r="C40" s="22">
        <v>4135</v>
      </c>
      <c r="D40" s="22">
        <v>4626</v>
      </c>
      <c r="E40" s="22">
        <v>2771</v>
      </c>
      <c r="F40" s="29">
        <v>1041</v>
      </c>
      <c r="G40" s="30">
        <v>10541</v>
      </c>
      <c r="H40" s="22">
        <f>I40+2455</f>
        <v>8656</v>
      </c>
      <c r="I40" s="22">
        <f>J40+1893</f>
        <v>6201</v>
      </c>
      <c r="J40" s="22">
        <v>4308</v>
      </c>
      <c r="K40" s="24">
        <f>-960+L40</f>
        <v>1692</v>
      </c>
      <c r="L40" s="22">
        <f>2021+M40</f>
        <v>2652</v>
      </c>
      <c r="M40" s="22">
        <f>1439+N40</f>
        <v>631</v>
      </c>
      <c r="N40" s="22">
        <v>-808</v>
      </c>
      <c r="O40" s="22">
        <v>5658</v>
      </c>
      <c r="P40" s="22">
        <v>6512</v>
      </c>
    </row>
    <row r="41" spans="1:14" ht="11.25">
      <c r="A41" s="13" t="s">
        <v>34</v>
      </c>
      <c r="D41" s="18"/>
      <c r="E41" s="19"/>
      <c r="F41" s="25"/>
      <c r="H41" s="18"/>
      <c r="I41" s="18"/>
      <c r="K41" s="26"/>
      <c r="L41" s="4"/>
      <c r="M41" s="4"/>
      <c r="N41" s="4"/>
    </row>
    <row r="42" spans="1:16" ht="11.25">
      <c r="A42" s="2" t="s">
        <v>35</v>
      </c>
      <c r="C42" s="18">
        <v>0</v>
      </c>
      <c r="D42" s="19">
        <v>900</v>
      </c>
      <c r="E42" s="19">
        <v>0</v>
      </c>
      <c r="F42" s="31">
        <v>0</v>
      </c>
      <c r="G42" s="32">
        <v>0</v>
      </c>
      <c r="H42" s="18">
        <v>0</v>
      </c>
      <c r="I42" s="18">
        <v>0</v>
      </c>
      <c r="J42" s="18">
        <v>0</v>
      </c>
      <c r="K42" s="21">
        <v>0</v>
      </c>
      <c r="L42" s="19">
        <v>0</v>
      </c>
      <c r="M42" s="19">
        <v>3647</v>
      </c>
      <c r="N42" s="19">
        <v>3647</v>
      </c>
      <c r="O42" s="18">
        <v>3647</v>
      </c>
      <c r="P42" s="18">
        <v>258</v>
      </c>
    </row>
    <row r="43" spans="1:16" ht="11.25">
      <c r="A43" s="2" t="s">
        <v>36</v>
      </c>
      <c r="C43" s="18">
        <v>0</v>
      </c>
      <c r="D43" s="19">
        <v>0</v>
      </c>
      <c r="E43" s="19">
        <v>0</v>
      </c>
      <c r="F43" s="20">
        <v>0</v>
      </c>
      <c r="G43" s="32">
        <v>0</v>
      </c>
      <c r="H43" s="18">
        <v>0</v>
      </c>
      <c r="I43" s="18">
        <v>0</v>
      </c>
      <c r="J43" s="18">
        <v>0</v>
      </c>
      <c r="K43" s="21">
        <v>2472</v>
      </c>
      <c r="L43" s="19">
        <v>0</v>
      </c>
      <c r="M43" s="19">
        <v>2472</v>
      </c>
      <c r="N43" s="19">
        <v>0</v>
      </c>
      <c r="O43" s="18">
        <v>0</v>
      </c>
      <c r="P43" s="18">
        <v>865</v>
      </c>
    </row>
    <row r="44" spans="1:16" ht="11.25">
      <c r="A44" s="2" t="s">
        <v>37</v>
      </c>
      <c r="C44" s="33">
        <v>0</v>
      </c>
      <c r="D44" s="33">
        <f aca="true" t="shared" si="12" ref="D44:P44">D42/D12</f>
        <v>0.004232784325529333</v>
      </c>
      <c r="E44" s="33">
        <f t="shared" si="12"/>
        <v>0</v>
      </c>
      <c r="F44" s="34">
        <f t="shared" si="12"/>
        <v>0</v>
      </c>
      <c r="G44" s="35">
        <f t="shared" si="12"/>
        <v>0</v>
      </c>
      <c r="H44" s="35">
        <f t="shared" si="12"/>
        <v>0</v>
      </c>
      <c r="I44" s="35">
        <f t="shared" si="12"/>
        <v>0</v>
      </c>
      <c r="J44" s="35">
        <f t="shared" si="12"/>
        <v>0</v>
      </c>
      <c r="K44" s="36">
        <f t="shared" si="12"/>
        <v>0</v>
      </c>
      <c r="L44" s="33">
        <f t="shared" si="12"/>
        <v>0</v>
      </c>
      <c r="M44" s="33">
        <f t="shared" si="12"/>
        <v>0.0042886406878758585</v>
      </c>
      <c r="N44" s="33">
        <f t="shared" si="12"/>
        <v>0.004370805369127517</v>
      </c>
      <c r="O44" s="35">
        <f t="shared" si="12"/>
        <v>0.0034592065925060323</v>
      </c>
      <c r="P44" s="35">
        <f t="shared" si="12"/>
        <v>0.00019004376899516936</v>
      </c>
    </row>
    <row r="45" spans="1:16" ht="11.25">
      <c r="A45" s="2" t="s">
        <v>38</v>
      </c>
      <c r="C45" s="33">
        <v>0</v>
      </c>
      <c r="D45" s="33">
        <v>0</v>
      </c>
      <c r="E45" s="33">
        <v>0</v>
      </c>
      <c r="F45" s="34">
        <v>0</v>
      </c>
      <c r="G45" s="35">
        <v>0</v>
      </c>
      <c r="H45" s="35">
        <v>0</v>
      </c>
      <c r="I45" s="35">
        <v>0</v>
      </c>
      <c r="J45" s="35">
        <v>0</v>
      </c>
      <c r="K45" s="36">
        <v>0</v>
      </c>
      <c r="L45" s="33">
        <v>0</v>
      </c>
      <c r="M45" s="33">
        <f>M43/M42</f>
        <v>0.6778173841513573</v>
      </c>
      <c r="N45" s="33">
        <f>N43/N42</f>
        <v>0</v>
      </c>
      <c r="O45" s="35">
        <f>O43/O42</f>
        <v>0</v>
      </c>
      <c r="P45" s="35">
        <f>P43/P42</f>
        <v>3.352713178294574</v>
      </c>
    </row>
    <row r="46" spans="1:16" ht="11.25">
      <c r="A46" s="3" t="s">
        <v>39</v>
      </c>
      <c r="B46" s="3"/>
      <c r="C46" s="37">
        <v>0</v>
      </c>
      <c r="D46" s="37">
        <f aca="true" t="shared" si="13" ref="D46:P46">D43/D12</f>
        <v>0</v>
      </c>
      <c r="E46" s="37">
        <f t="shared" si="13"/>
        <v>0</v>
      </c>
      <c r="F46" s="38">
        <f t="shared" si="13"/>
        <v>0</v>
      </c>
      <c r="G46" s="37">
        <f t="shared" si="13"/>
        <v>0</v>
      </c>
      <c r="H46" s="37">
        <f t="shared" si="13"/>
        <v>0</v>
      </c>
      <c r="I46" s="37">
        <f t="shared" si="13"/>
        <v>0</v>
      </c>
      <c r="J46" s="37">
        <f t="shared" si="13"/>
        <v>0</v>
      </c>
      <c r="K46" s="39">
        <f t="shared" si="13"/>
        <v>0.0037769462656054957</v>
      </c>
      <c r="L46" s="37">
        <f t="shared" si="13"/>
        <v>0</v>
      </c>
      <c r="M46" s="37">
        <f t="shared" si="13"/>
        <v>0.002906915212621092</v>
      </c>
      <c r="N46" s="37">
        <f t="shared" si="13"/>
        <v>0</v>
      </c>
      <c r="O46" s="37">
        <f t="shared" si="13"/>
        <v>0</v>
      </c>
      <c r="P46" s="37">
        <f t="shared" si="13"/>
        <v>0.0006371622487628739</v>
      </c>
    </row>
    <row r="47" spans="1:14" ht="11.25">
      <c r="A47" s="13" t="s">
        <v>40</v>
      </c>
      <c r="E47" s="4"/>
      <c r="F47" s="25"/>
      <c r="K47" s="26"/>
      <c r="L47" s="4"/>
      <c r="M47" s="4"/>
      <c r="N47" s="4"/>
    </row>
    <row r="48" spans="1:16" ht="11.25">
      <c r="A48" s="2" t="s">
        <v>41</v>
      </c>
      <c r="C48" s="33">
        <v>0</v>
      </c>
      <c r="D48" s="33">
        <f aca="true" t="shared" si="14" ref="D48:P48">D25/(D12+D15)</f>
        <v>0.06389152784701776</v>
      </c>
      <c r="E48" s="33">
        <f t="shared" si="14"/>
        <v>0.014169764163422197</v>
      </c>
      <c r="F48" s="34">
        <f t="shared" si="14"/>
        <v>0.023122617466912236</v>
      </c>
      <c r="G48" s="35">
        <f t="shared" si="14"/>
        <v>0.018872882134299395</v>
      </c>
      <c r="H48" s="35">
        <f t="shared" si="14"/>
        <v>0.015120825385450369</v>
      </c>
      <c r="I48" s="35">
        <f t="shared" si="14"/>
        <v>0.013532996136843363</v>
      </c>
      <c r="J48" s="35">
        <f t="shared" si="14"/>
        <v>0.019771857749918822</v>
      </c>
      <c r="K48" s="36">
        <f t="shared" si="14"/>
        <v>0.019095580270039436</v>
      </c>
      <c r="L48" s="33">
        <f t="shared" si="14"/>
        <v>0.021492892925182888</v>
      </c>
      <c r="M48" s="33">
        <f t="shared" si="14"/>
        <v>0.013452714414395345</v>
      </c>
      <c r="N48" s="33">
        <f t="shared" si="14"/>
        <v>0.015463806327900287</v>
      </c>
      <c r="O48" s="35">
        <f t="shared" si="14"/>
        <v>0.01300403684761659</v>
      </c>
      <c r="P48" s="35">
        <f t="shared" si="14"/>
        <v>0.0073660375579523004</v>
      </c>
    </row>
    <row r="49" spans="1:16" ht="11.25">
      <c r="A49" s="3" t="s">
        <v>42</v>
      </c>
      <c r="B49" s="3"/>
      <c r="C49" s="37">
        <f>C25/C10</f>
        <v>1</v>
      </c>
      <c r="D49" s="37">
        <f>D25/D10</f>
        <v>0.04727486584865083</v>
      </c>
      <c r="E49" s="37">
        <f>E25/E10</f>
        <v>0.012703851877202597</v>
      </c>
      <c r="F49" s="38">
        <f>F25/F12</f>
        <v>0.023122617466912236</v>
      </c>
      <c r="G49" s="37">
        <f>G25/G12</f>
        <v>0.018872882134299395</v>
      </c>
      <c r="H49" s="37">
        <f aca="true" t="shared" si="15" ref="H49:P49">H25/H10</f>
        <v>0.013353262093599405</v>
      </c>
      <c r="I49" s="37">
        <f t="shared" si="15"/>
        <v>0.011374689522527012</v>
      </c>
      <c r="J49" s="37">
        <f t="shared" si="15"/>
        <v>0.016349346405546677</v>
      </c>
      <c r="K49" s="39">
        <f t="shared" si="15"/>
        <v>0.012211756429297272</v>
      </c>
      <c r="L49" s="37">
        <f t="shared" si="15"/>
        <v>0.015850359603782227</v>
      </c>
      <c r="M49" s="37">
        <f t="shared" si="15"/>
        <v>0.01103759148947666</v>
      </c>
      <c r="N49" s="37">
        <f t="shared" si="15"/>
        <v>0.012633230006442429</v>
      </c>
      <c r="O49" s="37">
        <f t="shared" si="15"/>
        <v>0.010881565548534878</v>
      </c>
      <c r="P49" s="37">
        <f t="shared" si="15"/>
        <v>0.00691519891569681</v>
      </c>
    </row>
    <row r="50" spans="1:16" ht="11.25">
      <c r="A50" s="13" t="s">
        <v>43</v>
      </c>
      <c r="E50" s="4"/>
      <c r="F50" s="25"/>
      <c r="J50" s="40"/>
      <c r="K50" s="41"/>
      <c r="L50" s="42"/>
      <c r="M50" s="42"/>
      <c r="N50" s="42"/>
      <c r="O50" s="40"/>
      <c r="P50" s="40"/>
    </row>
    <row r="51" spans="1:16" ht="11.25">
      <c r="A51" s="2" t="s">
        <v>44</v>
      </c>
      <c r="C51" s="33">
        <v>0</v>
      </c>
      <c r="D51" s="42">
        <f aca="true" t="shared" si="16" ref="D51:P51">D11/D16</f>
        <v>0.2608491794738213</v>
      </c>
      <c r="E51" s="42">
        <f t="shared" si="16"/>
        <v>0.09455412071163333</v>
      </c>
      <c r="F51" s="43">
        <f t="shared" si="16"/>
        <v>0.1562256468429086</v>
      </c>
      <c r="G51" s="40">
        <f t="shared" si="16"/>
        <v>0.11923688890275481</v>
      </c>
      <c r="H51" s="40">
        <f t="shared" si="16"/>
        <v>0.09770763304817</v>
      </c>
      <c r="I51" s="40">
        <f t="shared" si="16"/>
        <v>0.14628709806133822</v>
      </c>
      <c r="J51" s="40">
        <f t="shared" si="16"/>
        <v>0.15946745532348386</v>
      </c>
      <c r="K51" s="41">
        <f t="shared" si="16"/>
        <v>0.35370605543120726</v>
      </c>
      <c r="L51" s="42">
        <f t="shared" si="16"/>
        <v>0.2507747719608197</v>
      </c>
      <c r="M51" s="42">
        <f t="shared" si="16"/>
        <v>0.16483010473187126</v>
      </c>
      <c r="N51" s="42">
        <f t="shared" si="16"/>
        <v>0.16754590774919356</v>
      </c>
      <c r="O51" s="40">
        <f t="shared" si="16"/>
        <v>0.14850003514329474</v>
      </c>
      <c r="P51" s="40">
        <f t="shared" si="16"/>
        <v>0.04156057774870616</v>
      </c>
    </row>
    <row r="52" spans="1:16" ht="11.25">
      <c r="A52" s="2" t="s">
        <v>45</v>
      </c>
      <c r="C52" s="42">
        <f aca="true" t="shared" si="17" ref="C52:P52">C11/C10</f>
        <v>1</v>
      </c>
      <c r="D52" s="42">
        <f t="shared" si="17"/>
        <v>0.24393621982029634</v>
      </c>
      <c r="E52" s="42">
        <f t="shared" si="17"/>
        <v>0.09238397040316589</v>
      </c>
      <c r="F52" s="43">
        <f t="shared" si="17"/>
        <v>0.15122015450417728</v>
      </c>
      <c r="G52" s="40">
        <f t="shared" si="17"/>
        <v>0.11543073219792267</v>
      </c>
      <c r="H52" s="40">
        <f t="shared" si="17"/>
        <v>0.09454868989496451</v>
      </c>
      <c r="I52" s="40">
        <f t="shared" si="17"/>
        <v>0.14236103473043812</v>
      </c>
      <c r="J52" s="40">
        <f t="shared" si="17"/>
        <v>0.154113457031649</v>
      </c>
      <c r="K52" s="41">
        <f t="shared" si="17"/>
        <v>0.3426297584616587</v>
      </c>
      <c r="L52" s="42">
        <f t="shared" si="17"/>
        <v>0.24205273874758723</v>
      </c>
      <c r="M52" s="42">
        <f t="shared" si="17"/>
        <v>0.15956073473310062</v>
      </c>
      <c r="N52" s="42">
        <f t="shared" si="17"/>
        <v>0.16166578874709453</v>
      </c>
      <c r="O52" s="40">
        <f t="shared" si="17"/>
        <v>0.1442136818820743</v>
      </c>
      <c r="P52" s="40">
        <f t="shared" si="17"/>
        <v>0.040466361014874594</v>
      </c>
    </row>
    <row r="53" spans="1:16" ht="11.25">
      <c r="A53" s="3" t="s">
        <v>46</v>
      </c>
      <c r="B53" s="3"/>
      <c r="C53" s="37">
        <v>0</v>
      </c>
      <c r="D53" s="44">
        <f aca="true" t="shared" si="18" ref="D53:P53">(D11+D15)/D16</f>
        <v>0.2608491794738213</v>
      </c>
      <c r="E53" s="44">
        <f t="shared" si="18"/>
        <v>0.09455412071163333</v>
      </c>
      <c r="F53" s="45">
        <f t="shared" si="18"/>
        <v>0.1562256468429086</v>
      </c>
      <c r="G53" s="44">
        <f t="shared" si="18"/>
        <v>0.11923688890275481</v>
      </c>
      <c r="H53" s="44">
        <f t="shared" si="18"/>
        <v>0.09770763304817</v>
      </c>
      <c r="I53" s="44">
        <f t="shared" si="18"/>
        <v>0.14628709806133822</v>
      </c>
      <c r="J53" s="44">
        <f t="shared" si="18"/>
        <v>0.15946846194808031</v>
      </c>
      <c r="K53" s="46">
        <f t="shared" si="18"/>
        <v>0.35370605543120726</v>
      </c>
      <c r="L53" s="44">
        <f t="shared" si="18"/>
        <v>0.2507747719608197</v>
      </c>
      <c r="M53" s="44">
        <f t="shared" si="18"/>
        <v>0.16483010473187126</v>
      </c>
      <c r="N53" s="44">
        <f t="shared" si="18"/>
        <v>0.16754590774919356</v>
      </c>
      <c r="O53" s="44">
        <f t="shared" si="18"/>
        <v>0.14850003514329474</v>
      </c>
      <c r="P53" s="44">
        <f t="shared" si="18"/>
        <v>0.04156057774870616</v>
      </c>
    </row>
    <row r="54" spans="1:14" ht="11.25">
      <c r="A54" s="13" t="s">
        <v>47</v>
      </c>
      <c r="E54" s="4"/>
      <c r="F54" s="25"/>
      <c r="K54" s="26"/>
      <c r="L54" s="4"/>
      <c r="M54" s="4"/>
      <c r="N54" s="4"/>
    </row>
    <row r="55" spans="1:16" ht="11.25">
      <c r="A55" s="2" t="s">
        <v>48</v>
      </c>
      <c r="B55" s="4"/>
      <c r="C55" s="33">
        <f>(C40)/C28</f>
        <v>0.009614903914905194</v>
      </c>
      <c r="D55" s="33">
        <f>(D40/0.75)/D28</f>
        <v>0.010620602729536226</v>
      </c>
      <c r="E55" s="33">
        <f>(E40/0.5)/E28</f>
        <v>0.006494655561766612</v>
      </c>
      <c r="F55" s="34">
        <f>((F40)/0.25)/F28</f>
        <v>0.005214451192786926</v>
      </c>
      <c r="G55" s="47">
        <f>G40/G28</f>
        <v>0.01391900278617739</v>
      </c>
      <c r="H55" s="47">
        <f>(H40/0.75)/H28</f>
        <v>0.014654758828609709</v>
      </c>
      <c r="I55" s="35">
        <f>(I40/0.5)/I28</f>
        <v>0.014344197117628315</v>
      </c>
      <c r="J55" s="35">
        <f>((J40)/0.25)/J28</f>
        <v>0.020460746760263025</v>
      </c>
      <c r="K55" s="48">
        <f>K40/K28</f>
        <v>0.0019803544623811656</v>
      </c>
      <c r="L55" s="47">
        <f>(L40/0.75)/L28</f>
        <v>0.004507142788858332</v>
      </c>
      <c r="M55" s="47">
        <f>(M40/0.5)/M28</f>
        <v>0.0013867225164948007</v>
      </c>
      <c r="N55" s="33">
        <f>((N40)/0.25)/N28</f>
        <v>-0.0032602599331001117</v>
      </c>
      <c r="O55" s="35">
        <f>O40/O28</f>
        <v>0.004691795163089221</v>
      </c>
      <c r="P55" s="35">
        <f>P40/P28</f>
        <v>0.005088817924329621</v>
      </c>
    </row>
    <row r="56" spans="1:16" ht="11.25">
      <c r="A56" s="2" t="s">
        <v>49</v>
      </c>
      <c r="B56" s="4"/>
      <c r="C56" s="33">
        <f>(C40)/C27</f>
        <v>0.008299954535920136</v>
      </c>
      <c r="D56" s="33">
        <f>(D40/0.75)/D27</f>
        <v>0.009058226420414494</v>
      </c>
      <c r="E56" s="33">
        <f>(E40/0.5)/E27</f>
        <v>0.005629513603726734</v>
      </c>
      <c r="F56" s="34">
        <f>((F40)/0.25)/F27</f>
        <v>0.004328284361214248</v>
      </c>
      <c r="G56" s="47">
        <f>G40/G27</f>
        <v>0.010453519720221328</v>
      </c>
      <c r="H56" s="47">
        <f>(H40/0.75)/H27</f>
        <v>0.011999579266138255</v>
      </c>
      <c r="I56" s="35">
        <f>(I40/0.5)/I27</f>
        <v>0.011913401616214982</v>
      </c>
      <c r="J56" s="35">
        <f>((J40)/0.25)/J27</f>
        <v>0.016817572958373286</v>
      </c>
      <c r="K56" s="48">
        <f>K40/K27</f>
        <v>0.0014820206458088902</v>
      </c>
      <c r="L56" s="47">
        <f>(L40/0.75)/L27</f>
        <v>0.0037691984217547558</v>
      </c>
      <c r="M56" s="47">
        <f>(M40/0.5)/M27</f>
        <v>0.0012169943325866144</v>
      </c>
      <c r="N56" s="33">
        <f>((N40)/0.25)/N27</f>
        <v>-0.0028030104609876798</v>
      </c>
      <c r="O56" s="35">
        <f>O40/O27</f>
        <v>0.004181788819664607</v>
      </c>
      <c r="P56" s="35">
        <f>P40/P27</f>
        <v>0.0037763750395063806</v>
      </c>
    </row>
    <row r="57" spans="1:16" ht="11.25">
      <c r="A57" s="2" t="s">
        <v>50</v>
      </c>
      <c r="B57" s="4"/>
      <c r="C57" s="33">
        <f>(C40)/C31</f>
        <v>0.427898794432659</v>
      </c>
      <c r="D57" s="33">
        <f>(D40/0.75)/D31</f>
        <v>0.4416281817205456</v>
      </c>
      <c r="E57" s="33">
        <f>(E40/0.5)/E31</f>
        <v>0.4692037421157347</v>
      </c>
      <c r="F57" s="34">
        <f>((F40)/0.25)/F31</f>
        <v>0.24435902702385492</v>
      </c>
      <c r="G57" s="47">
        <f>+G40/G31</f>
        <v>0.7337718840277052</v>
      </c>
      <c r="H57" s="47">
        <f>(H40/0.75)/H31</f>
        <v>0.8301027319260139</v>
      </c>
      <c r="I57" s="35">
        <f>(I40/0.5)/I31</f>
        <v>1.0630437577679681</v>
      </c>
      <c r="J57" s="35">
        <f>((J40)/0.25)/J31</f>
        <v>1.1600525093406038</v>
      </c>
      <c r="K57" s="48">
        <f>+K40/K31</f>
        <v>0.12912087912087913</v>
      </c>
      <c r="L57" s="47">
        <f>(L40/0.75)/L31</f>
        <v>0.296968169984043</v>
      </c>
      <c r="M57" s="47">
        <f>(M40/0.5)/M31</f>
        <v>0.11154322078840374</v>
      </c>
      <c r="N57" s="33">
        <f>((N40)/0.25)/N31</f>
        <v>-0.2990377498149519</v>
      </c>
      <c r="O57" s="35">
        <f>O40/O31</f>
        <v>0.47726697595951073</v>
      </c>
      <c r="P57" s="35">
        <f>P40/P31</f>
        <v>0.7751919528599488</v>
      </c>
    </row>
    <row r="58" spans="1:16" ht="11.25">
      <c r="A58" s="2" t="s">
        <v>51</v>
      </c>
      <c r="B58" s="4"/>
      <c r="C58" s="33">
        <f>(C33)/C28</f>
        <v>0.05679187744078463</v>
      </c>
      <c r="D58" s="33">
        <f>(D33/0.75)/D28</f>
        <v>0.053415249266188895</v>
      </c>
      <c r="E58" s="33">
        <f>(E33/0.5)/E28</f>
        <v>0.03773275347848455</v>
      </c>
      <c r="F58" s="34">
        <f>((F33)/0.25)/F28</f>
        <v>0.042026172437543044</v>
      </c>
      <c r="G58" s="47">
        <f>G33/G28</f>
        <v>0.07148327633333773</v>
      </c>
      <c r="H58" s="47">
        <f>(H33/0.75)/H28</f>
        <v>0.07219872807833422</v>
      </c>
      <c r="I58" s="35">
        <f>(I33/0.5)/I28</f>
        <v>0.065528530228701</v>
      </c>
      <c r="J58" s="35">
        <f>((J33)/0.25)/J28</f>
        <v>0.06799826169143124</v>
      </c>
      <c r="K58" s="48">
        <f>K33/K28</f>
        <v>0.0766240340358793</v>
      </c>
      <c r="L58" s="47">
        <f>(L33/0.75)/L28</f>
        <v>0.08506297274703938</v>
      </c>
      <c r="M58" s="47">
        <f>(M33/0.5)/M28</f>
        <v>0.07285237943233382</v>
      </c>
      <c r="N58" s="33">
        <f>((N33)/0.25)/N28</f>
        <v>0.07237131455455892</v>
      </c>
      <c r="O58" s="35">
        <f>O33/O28</f>
        <v>0.05091485030287702</v>
      </c>
      <c r="P58" s="35">
        <f>P33/P27</f>
        <v>0.05023065927087894</v>
      </c>
    </row>
    <row r="59" spans="1:16" ht="11.25">
      <c r="A59" s="2" t="s">
        <v>52</v>
      </c>
      <c r="B59" s="4"/>
      <c r="C59" s="33">
        <f>(C34)/C28</f>
        <v>0.0408011412321261</v>
      </c>
      <c r="D59" s="33">
        <f>(D34/0.75)/D28</f>
        <v>0.03905241081483165</v>
      </c>
      <c r="E59" s="33">
        <f>(E34/0.5)/E28</f>
        <v>0.02809038141745682</v>
      </c>
      <c r="F59" s="34">
        <f>((F34)/0.25)/F28</f>
        <v>0.03148206123599023</v>
      </c>
      <c r="G59" s="47">
        <f>G34/G28</f>
        <v>0.058878134449564905</v>
      </c>
      <c r="H59" s="47">
        <f>(H34/0.75)/H28</f>
        <v>0.06018507643232977</v>
      </c>
      <c r="I59" s="35">
        <f>(I34/0.5)/I28</f>
        <v>0.05547995866298944</v>
      </c>
      <c r="J59" s="35">
        <f>((J34)/0.25)/J28</f>
        <v>0.057573159755781894</v>
      </c>
      <c r="K59" s="48">
        <f>K34/K28</f>
        <v>0.06760944179636408</v>
      </c>
      <c r="L59" s="47">
        <f>(L34/0.75)/L28</f>
        <v>0.07489810810896935</v>
      </c>
      <c r="M59" s="47">
        <f>(M34/0.5)/M28</f>
        <v>0.06474961252533488</v>
      </c>
      <c r="N59" s="33">
        <f>((N34)/0.25)/N28</f>
        <v>0.06424083959763227</v>
      </c>
      <c r="O59" s="35">
        <f>O34/O28</f>
        <v>0.0460281855987263</v>
      </c>
      <c r="P59" s="35">
        <f>P34/P27</f>
        <v>0.04642528872277684</v>
      </c>
    </row>
    <row r="60" spans="1:16" ht="11.25">
      <c r="A60" s="2" t="s">
        <v>53</v>
      </c>
      <c r="B60" s="4"/>
      <c r="C60" s="33">
        <f>(C35)/C28</f>
        <v>0.01599073620865853</v>
      </c>
      <c r="D60" s="33">
        <f>(D35/0.75)/D28</f>
        <v>0.01436283845135725</v>
      </c>
      <c r="E60" s="33">
        <f>(E35/0.5)/E28</f>
        <v>0.009642372061027731</v>
      </c>
      <c r="F60" s="34">
        <f>((F35)/0.25)/F28</f>
        <v>0.010544111201552814</v>
      </c>
      <c r="G60" s="47">
        <f>G35/G28</f>
        <v>0.012605141883772828</v>
      </c>
      <c r="H60" s="47">
        <f>(H35/0.75)/H28</f>
        <v>0.012013651646004448</v>
      </c>
      <c r="I60" s="35">
        <f>(I35/0.5)/I28</f>
        <v>0.010048571565711564</v>
      </c>
      <c r="J60" s="35">
        <f>((J35)/0.25)/J28</f>
        <v>0.010425101935649337</v>
      </c>
      <c r="K60" s="48">
        <f>K35/K28</f>
        <v>0.009014592239515212</v>
      </c>
      <c r="L60" s="47">
        <f>(L35/0.75)/L28</f>
        <v>0.01016486463807002</v>
      </c>
      <c r="M60" s="47">
        <f>(M35/0.5)/M28</f>
        <v>0.008102766906998939</v>
      </c>
      <c r="N60" s="33">
        <f>((N35)/0.25)/N28</f>
        <v>0.00813047495692664</v>
      </c>
      <c r="O60" s="35">
        <f>O35/O28</f>
        <v>0.004886664704150721</v>
      </c>
      <c r="P60" s="35">
        <f>P35/P27</f>
        <v>0.003805370548102099</v>
      </c>
    </row>
    <row r="61" spans="1:16" ht="11.25">
      <c r="A61" s="2" t="s">
        <v>54</v>
      </c>
      <c r="B61" s="4"/>
      <c r="C61" s="33">
        <f>(C38)/(C37)</f>
        <v>0.6390444195595372</v>
      </c>
      <c r="D61" s="33">
        <f>(D38/0.75)/(D37/0.75)</f>
        <v>0.5826999921648516</v>
      </c>
      <c r="E61" s="33">
        <f>(E38/0.5)/(E37/0.5)</f>
        <v>0.6717420087005863</v>
      </c>
      <c r="F61" s="34">
        <f>(F38/0.25)/(F37/0.25)</f>
        <v>0.517718715393134</v>
      </c>
      <c r="G61" s="47">
        <f>G38/G37</f>
        <v>0.15509778775248478</v>
      </c>
      <c r="H61" s="47">
        <f>(H38/0.75)/(H37/0.75)</f>
        <v>0.12777106005642885</v>
      </c>
      <c r="I61" s="35">
        <f>(I38/0.5)/(I37/0.5)</f>
        <v>0.12266553480475383</v>
      </c>
      <c r="J61" s="35">
        <f>(J38/0.25)/(J37/0.25)</f>
        <v>0.10455206817709416</v>
      </c>
      <c r="K61" s="48">
        <f>K38/K37</f>
        <v>0.7944356700279431</v>
      </c>
      <c r="L61" s="47">
        <f>(L38/0.75)/(L37/0.75)</f>
        <v>0.7006772009029345</v>
      </c>
      <c r="M61" s="47">
        <f>(M38/0.5)/(M37/0.5)</f>
        <v>0.8412179164569703</v>
      </c>
      <c r="N61" s="33">
        <f>(N38/0.25)/(N37/0.25)</f>
        <v>1.372865712967236</v>
      </c>
      <c r="O61" s="35">
        <f>O38/O37</f>
        <v>0.20909090909090908</v>
      </c>
      <c r="P61" s="35">
        <f>P38/P37</f>
        <v>0.23234704703524697</v>
      </c>
    </row>
    <row r="62" spans="1:16" ht="11.25">
      <c r="A62" s="3" t="s">
        <v>55</v>
      </c>
      <c r="B62" s="3"/>
      <c r="C62" s="37">
        <f>(C36)/C28</f>
        <v>0.015155971878440642</v>
      </c>
      <c r="D62" s="37">
        <f>(D36/0.75)/D28</f>
        <v>0.014939096835514965</v>
      </c>
      <c r="E62" s="37">
        <f>(E36/0.5)/E28</f>
        <v>0.01514091480657247</v>
      </c>
      <c r="F62" s="38">
        <f>(F36/0.25)/F28</f>
        <v>0.007548681986099806</v>
      </c>
      <c r="G62" s="49">
        <f>G36/G28</f>
        <v>0.003868957230196353</v>
      </c>
      <c r="H62" s="49">
        <f>(H36/0.75)/H28</f>
        <v>0.00478785327718441</v>
      </c>
      <c r="I62" s="37">
        <f>(I36/0.5)/I28</f>
        <v>0.006301176092310842</v>
      </c>
      <c r="J62" s="37">
        <f>(J36/0.25)/J28</f>
        <v>0.012424631737429916</v>
      </c>
      <c r="K62" s="50">
        <f>K36/K28</f>
        <v>0.0006191533750588868</v>
      </c>
      <c r="L62" s="49">
        <f>(L36/0.75)/L28</f>
        <v>0.004892935176894095</v>
      </c>
      <c r="M62" s="49">
        <f>(M36/0.5)/M28</f>
        <v>0.0006307279908621359</v>
      </c>
      <c r="N62" s="37">
        <f>(N36/0.25)/N28</f>
        <v>0.0006133162250386349</v>
      </c>
      <c r="O62" s="37">
        <f>O36/O28</f>
        <v>0.0013159913262323424</v>
      </c>
      <c r="P62" s="37">
        <f>P36/P27</f>
        <v>0.0011140074402475057</v>
      </c>
    </row>
    <row r="63" spans="1:14" ht="11.25">
      <c r="A63" s="13" t="s">
        <v>56</v>
      </c>
      <c r="E63" s="4"/>
      <c r="F63" s="25"/>
      <c r="K63" s="26"/>
      <c r="L63" s="4"/>
      <c r="M63" s="4"/>
      <c r="N63" s="4"/>
    </row>
    <row r="64" spans="1:16" ht="11.25">
      <c r="A64" s="2" t="s">
        <v>57</v>
      </c>
      <c r="C64" s="18">
        <v>21</v>
      </c>
      <c r="D64" s="18">
        <v>25</v>
      </c>
      <c r="E64" s="4">
        <v>25</v>
      </c>
      <c r="F64" s="25">
        <v>29</v>
      </c>
      <c r="G64" s="2">
        <v>27</v>
      </c>
      <c r="H64" s="18">
        <v>29</v>
      </c>
      <c r="I64" s="18">
        <v>29</v>
      </c>
      <c r="J64" s="18">
        <v>30</v>
      </c>
      <c r="K64" s="21">
        <v>30</v>
      </c>
      <c r="L64" s="19">
        <v>29</v>
      </c>
      <c r="M64" s="19">
        <v>29</v>
      </c>
      <c r="N64" s="19">
        <v>29</v>
      </c>
      <c r="O64" s="18">
        <v>29</v>
      </c>
      <c r="P64" s="18">
        <v>32</v>
      </c>
    </row>
    <row r="65" spans="1:16" ht="11.25">
      <c r="A65" s="2" t="s">
        <v>58</v>
      </c>
      <c r="C65" s="18">
        <v>1</v>
      </c>
      <c r="D65" s="18">
        <v>1</v>
      </c>
      <c r="E65" s="4">
        <v>1</v>
      </c>
      <c r="F65" s="25">
        <v>1</v>
      </c>
      <c r="G65" s="2">
        <v>1</v>
      </c>
      <c r="H65" s="18">
        <v>1</v>
      </c>
      <c r="I65" s="18">
        <v>1</v>
      </c>
      <c r="J65" s="18">
        <v>1</v>
      </c>
      <c r="K65" s="21">
        <v>1</v>
      </c>
      <c r="L65" s="19">
        <v>1</v>
      </c>
      <c r="M65" s="19">
        <v>1</v>
      </c>
      <c r="N65" s="19">
        <v>1</v>
      </c>
      <c r="O65" s="18">
        <v>1</v>
      </c>
      <c r="P65" s="18">
        <v>1</v>
      </c>
    </row>
    <row r="66" spans="1:16" ht="11.25">
      <c r="A66" s="2" t="s">
        <v>59</v>
      </c>
      <c r="C66" s="19">
        <f aca="true" t="shared" si="19" ref="C66:P66">C12/C64</f>
        <v>0</v>
      </c>
      <c r="D66" s="19">
        <f t="shared" si="19"/>
        <v>8505.04</v>
      </c>
      <c r="E66" s="19">
        <f t="shared" si="19"/>
        <v>33112.76</v>
      </c>
      <c r="F66" s="20">
        <f t="shared" si="19"/>
        <v>25762.206896551725</v>
      </c>
      <c r="G66" s="18">
        <f t="shared" si="19"/>
        <v>31856.40740740741</v>
      </c>
      <c r="H66" s="18">
        <f t="shared" si="19"/>
        <v>32720.344827586207</v>
      </c>
      <c r="I66" s="18">
        <f t="shared" si="19"/>
        <v>30303.96551724138</v>
      </c>
      <c r="J66" s="18">
        <f t="shared" si="19"/>
        <v>28333.166666666668</v>
      </c>
      <c r="K66" s="21">
        <f t="shared" si="19"/>
        <v>21816.566666666666</v>
      </c>
      <c r="L66" s="19">
        <f t="shared" si="19"/>
        <v>21593.344827586207</v>
      </c>
      <c r="M66" s="19">
        <f t="shared" si="19"/>
        <v>29323.655172413793</v>
      </c>
      <c r="N66" s="19">
        <f t="shared" si="19"/>
        <v>28772.41379310345</v>
      </c>
      <c r="O66" s="18">
        <f t="shared" si="19"/>
        <v>36354.75862068965</v>
      </c>
      <c r="P66" s="18">
        <f t="shared" si="19"/>
        <v>42424.4375</v>
      </c>
    </row>
    <row r="67" spans="1:16" ht="11.25">
      <c r="A67" s="2" t="s">
        <v>60</v>
      </c>
      <c r="C67" s="19">
        <f aca="true" t="shared" si="20" ref="C67:P67">C16/C64</f>
        <v>0</v>
      </c>
      <c r="D67" s="19">
        <f t="shared" si="20"/>
        <v>10749.2</v>
      </c>
      <c r="E67" s="19">
        <f t="shared" si="20"/>
        <v>36086</v>
      </c>
      <c r="F67" s="20">
        <f t="shared" si="20"/>
        <v>29911.862068965518</v>
      </c>
      <c r="G67" s="18">
        <f t="shared" si="20"/>
        <v>35614.444444444445</v>
      </c>
      <c r="H67" s="18">
        <f t="shared" si="20"/>
        <v>35853.620689655174</v>
      </c>
      <c r="I67" s="18">
        <f t="shared" si="20"/>
        <v>35086.41379310345</v>
      </c>
      <c r="J67" s="18">
        <f t="shared" si="20"/>
        <v>33113.96666666667</v>
      </c>
      <c r="K67" s="21">
        <f t="shared" si="20"/>
        <v>33046.36666666667</v>
      </c>
      <c r="L67" s="19">
        <f t="shared" si="20"/>
        <v>28261.931034482757</v>
      </c>
      <c r="M67" s="19">
        <f t="shared" si="20"/>
        <v>34597.379310344826</v>
      </c>
      <c r="N67" s="19">
        <f t="shared" si="20"/>
        <v>33983.06896551724</v>
      </c>
      <c r="O67" s="18">
        <f t="shared" si="20"/>
        <v>42191.793103448275</v>
      </c>
      <c r="P67" s="18">
        <f t="shared" si="20"/>
        <v>44000.53125</v>
      </c>
    </row>
    <row r="68" spans="1:16" ht="11.25">
      <c r="A68" s="3" t="s">
        <v>61</v>
      </c>
      <c r="B68" s="3"/>
      <c r="C68" s="22">
        <f aca="true" t="shared" si="21" ref="C68:P68">(C40/C64)</f>
        <v>196.9047619047619</v>
      </c>
      <c r="D68" s="22">
        <f t="shared" si="21"/>
        <v>185.04</v>
      </c>
      <c r="E68" s="22">
        <f t="shared" si="21"/>
        <v>110.84</v>
      </c>
      <c r="F68" s="23">
        <f t="shared" si="21"/>
        <v>35.89655172413793</v>
      </c>
      <c r="G68" s="22">
        <f t="shared" si="21"/>
        <v>390.4074074074074</v>
      </c>
      <c r="H68" s="22">
        <f t="shared" si="21"/>
        <v>298.48275862068965</v>
      </c>
      <c r="I68" s="22">
        <f t="shared" si="21"/>
        <v>213.82758620689654</v>
      </c>
      <c r="J68" s="22">
        <f t="shared" si="21"/>
        <v>143.6</v>
      </c>
      <c r="K68" s="24">
        <f t="shared" si="21"/>
        <v>56.4</v>
      </c>
      <c r="L68" s="22">
        <f t="shared" si="21"/>
        <v>91.44827586206897</v>
      </c>
      <c r="M68" s="22">
        <f t="shared" si="21"/>
        <v>21.75862068965517</v>
      </c>
      <c r="N68" s="51">
        <f t="shared" si="21"/>
        <v>-27.862068965517242</v>
      </c>
      <c r="O68" s="22">
        <f t="shared" si="21"/>
        <v>195.10344827586206</v>
      </c>
      <c r="P68" s="22">
        <f t="shared" si="21"/>
        <v>203.5</v>
      </c>
    </row>
    <row r="69" spans="1:14" ht="11.25">
      <c r="A69" s="13" t="s">
        <v>62</v>
      </c>
      <c r="E69" s="4"/>
      <c r="F69" s="25"/>
      <c r="K69" s="26"/>
      <c r="L69" s="4"/>
      <c r="M69" s="4"/>
      <c r="N69" s="4"/>
    </row>
    <row r="70" spans="1:16" ht="11.25">
      <c r="A70" s="2" t="s">
        <v>63</v>
      </c>
      <c r="C70" s="33">
        <f aca="true" t="shared" si="22" ref="C70:K70">(C10/G10)-1</f>
        <v>-0.996885120965834</v>
      </c>
      <c r="D70" s="33">
        <f t="shared" si="22"/>
        <v>-0.7325606285377118</v>
      </c>
      <c r="E70" s="33">
        <f t="shared" si="22"/>
        <v>-0.11689829537466279</v>
      </c>
      <c r="F70" s="34">
        <f t="shared" si="22"/>
        <v>-0.12819342932550926</v>
      </c>
      <c r="G70" s="35">
        <f t="shared" si="22"/>
        <v>-0.029452630344719788</v>
      </c>
      <c r="H70" s="35">
        <f t="shared" si="22"/>
        <v>0.2654072584966478</v>
      </c>
      <c r="I70" s="35">
        <f t="shared" si="22"/>
        <v>0.00878858574105279</v>
      </c>
      <c r="J70" s="35">
        <f t="shared" si="22"/>
        <v>0.006439491106903228</v>
      </c>
      <c r="K70" s="36">
        <f t="shared" si="22"/>
        <v>-0.18770025930032563</v>
      </c>
      <c r="L70" s="33">
        <f>(L10/1027132)-1</f>
        <v>-0.17330099734016657</v>
      </c>
      <c r="M70" s="33">
        <f>(M10/1037504)-1</f>
        <v>-0.0010081888840910436</v>
      </c>
      <c r="N70" s="33">
        <f>(N10/1284738)-1</f>
        <v>-0.20500989306769157</v>
      </c>
      <c r="O70" s="35">
        <f>(O10/P10)-1</f>
        <v>-0.12873403453450338</v>
      </c>
      <c r="P70" s="35">
        <f>(P10/2002720)-1</f>
        <v>-0.27793700567228574</v>
      </c>
    </row>
    <row r="71" spans="1:16" ht="11.25">
      <c r="A71" s="2" t="s">
        <v>64</v>
      </c>
      <c r="C71" s="33">
        <f aca="true" t="shared" si="23" ref="C71:I73">(C12/G12)-1</f>
        <v>-1</v>
      </c>
      <c r="D71" s="33">
        <f t="shared" si="23"/>
        <v>-0.7759213396705624</v>
      </c>
      <c r="E71" s="33">
        <f t="shared" si="23"/>
        <v>-0.05802814016601898</v>
      </c>
      <c r="F71" s="34">
        <f t="shared" si="23"/>
        <v>-0.12104894734674909</v>
      </c>
      <c r="G71" s="35">
        <f t="shared" si="23"/>
        <v>0.3141740909431212</v>
      </c>
      <c r="H71" s="35">
        <f t="shared" si="23"/>
        <v>0.5152976571644841</v>
      </c>
      <c r="I71" s="35">
        <f t="shared" si="23"/>
        <v>0.03343070088171718</v>
      </c>
      <c r="J71" s="35">
        <f>J12/N12-1</f>
        <v>0.018690076701821656</v>
      </c>
      <c r="K71" s="36">
        <f>(K12/O12)-1</f>
        <v>-0.3792047334314722</v>
      </c>
      <c r="L71" s="33">
        <f>L12/942858-1</f>
        <v>-0.33584166438636576</v>
      </c>
      <c r="M71" s="33">
        <f>M12/969733-1</f>
        <v>-0.12307202085522506</v>
      </c>
      <c r="N71" s="33">
        <f>N12/1148264-1</f>
        <v>-0.27333783868518036</v>
      </c>
      <c r="O71" s="35">
        <f>(O12/P12)-1</f>
        <v>-0.22340749951015848</v>
      </c>
      <c r="P71" s="35">
        <f>P12/1201755-1</f>
        <v>0.1296661965209216</v>
      </c>
    </row>
    <row r="72" spans="2:16" ht="11.25">
      <c r="B72" s="2" t="s">
        <v>15</v>
      </c>
      <c r="C72" s="33">
        <f t="shared" si="23"/>
        <v>-1</v>
      </c>
      <c r="D72" s="33">
        <f t="shared" si="23"/>
        <v>-0.9743149688754436</v>
      </c>
      <c r="E72" s="33">
        <f t="shared" si="23"/>
        <v>-0.3052803357034619</v>
      </c>
      <c r="F72" s="34">
        <f t="shared" si="23"/>
        <v>-0.1577862452370542</v>
      </c>
      <c r="G72" s="35">
        <f t="shared" si="23"/>
        <v>3.113825363825364</v>
      </c>
      <c r="H72" s="35">
        <f t="shared" si="23"/>
        <v>2.5986601067727415</v>
      </c>
      <c r="I72" s="35">
        <f t="shared" si="23"/>
        <v>0.5783276607487811</v>
      </c>
      <c r="J72" s="35">
        <f>(J13/N13)-1</f>
        <v>0.1520581462291306</v>
      </c>
      <c r="K72" s="36">
        <f>(K13/O13)-1</f>
        <v>-0.7912175359907401</v>
      </c>
      <c r="L72" s="33">
        <f>(L13/30932)-1</f>
        <v>-0.6911612569507306</v>
      </c>
      <c r="M72" s="33">
        <f>(M13/34369)-1</f>
        <v>-0.6836975181122523</v>
      </c>
      <c r="N72" s="33">
        <f>(N13/39891)-1</f>
        <v>-0.6516507482890878</v>
      </c>
      <c r="O72" s="35">
        <f>(O13/P13)-1</f>
        <v>-0.3407259026088616</v>
      </c>
      <c r="P72" s="35">
        <f>(P13/18410)-1</f>
        <v>1.2777838131450299</v>
      </c>
    </row>
    <row r="73" spans="2:16" ht="11.25">
      <c r="B73" s="2" t="s">
        <v>16</v>
      </c>
      <c r="C73" s="33">
        <f t="shared" si="23"/>
        <v>-1</v>
      </c>
      <c r="D73" s="33">
        <f t="shared" si="23"/>
        <v>-0.768463399058733</v>
      </c>
      <c r="E73" s="33">
        <f t="shared" si="23"/>
        <v>-0.05310465765379957</v>
      </c>
      <c r="F73" s="34">
        <f t="shared" si="23"/>
        <v>-0.1203437467775238</v>
      </c>
      <c r="G73" s="35">
        <f t="shared" si="23"/>
        <v>0.2892643261782728</v>
      </c>
      <c r="H73" s="35">
        <f t="shared" si="23"/>
        <v>0.48302289452432</v>
      </c>
      <c r="I73" s="35">
        <f t="shared" si="23"/>
        <v>0.02637475208900386</v>
      </c>
      <c r="J73" s="35">
        <f>(J14/N14)-1</f>
        <v>0.016431364137164506</v>
      </c>
      <c r="K73" s="36">
        <f>(K14/O14)-1</f>
        <v>-0.36810981822290534</v>
      </c>
      <c r="L73" s="33">
        <f>(L14/911927)-1</f>
        <v>-0.3237901718010323</v>
      </c>
      <c r="M73" s="33">
        <f>(M14/935364)-1</f>
        <v>-0.1024724064642214</v>
      </c>
      <c r="N73" s="33">
        <f>(N14/1108373)-1</f>
        <v>-0.25972213325297533</v>
      </c>
      <c r="O73" s="35">
        <f>(O14/P14)-1</f>
        <v>-0.21966817872257627</v>
      </c>
      <c r="P73" s="35">
        <f>(P14/1183344)-1</f>
        <v>0.11180518936167338</v>
      </c>
    </row>
    <row r="74" spans="1:16" ht="11.25">
      <c r="A74" s="2" t="s">
        <v>65</v>
      </c>
      <c r="C74" s="33">
        <f aca="true" t="shared" si="24" ref="C74:K75">(C16/G16)-1</f>
        <v>-1</v>
      </c>
      <c r="D74" s="33">
        <f t="shared" si="24"/>
        <v>-0.7415448831695928</v>
      </c>
      <c r="E74" s="33">
        <f t="shared" si="24"/>
        <v>-0.1133713216433122</v>
      </c>
      <c r="F74" s="34">
        <f t="shared" si="24"/>
        <v>-0.12680953354022828</v>
      </c>
      <c r="G74" s="35">
        <f t="shared" si="24"/>
        <v>-0.030059784686364943</v>
      </c>
      <c r="H74" s="35">
        <f t="shared" si="24"/>
        <v>0.26861892932615583</v>
      </c>
      <c r="I74" s="35">
        <f t="shared" si="24"/>
        <v>0.014135015209443713</v>
      </c>
      <c r="J74" s="35">
        <f t="shared" si="24"/>
        <v>0.008026309247302743</v>
      </c>
      <c r="K74" s="36">
        <f t="shared" si="24"/>
        <v>-0.1897500903100946</v>
      </c>
      <c r="L74" s="33">
        <f>L16/994574-1</f>
        <v>-0.1759326103437251</v>
      </c>
      <c r="M74" s="33">
        <f>M16/1003838-1</f>
        <v>-0.0005120348103977435</v>
      </c>
      <c r="N74" s="33">
        <f>N16/1247038-1</f>
        <v>-0.20972015287425083</v>
      </c>
      <c r="O74" s="35">
        <f>(O16/P16)-1</f>
        <v>-0.13100338987384386</v>
      </c>
      <c r="P74" s="35">
        <f>P16/1960055-1</f>
        <v>-0.28164413753695683</v>
      </c>
    </row>
    <row r="75" spans="2:16" ht="11.25">
      <c r="B75" s="2" t="s">
        <v>15</v>
      </c>
      <c r="C75" s="33">
        <f t="shared" si="24"/>
        <v>-1</v>
      </c>
      <c r="D75" s="33">
        <f t="shared" si="24"/>
        <v>-0.7645197024845704</v>
      </c>
      <c r="E75" s="33">
        <f t="shared" si="24"/>
        <v>-0.7521111893033076</v>
      </c>
      <c r="F75" s="34">
        <f t="shared" si="24"/>
        <v>0.652855063778786</v>
      </c>
      <c r="G75" s="35">
        <f t="shared" si="24"/>
        <v>-0.7806297601455041</v>
      </c>
      <c r="H75" s="35">
        <f t="shared" si="24"/>
        <v>0.07020069438563814</v>
      </c>
      <c r="I75" s="35">
        <f t="shared" si="24"/>
        <v>1.159301000379891</v>
      </c>
      <c r="J75" s="35">
        <f t="shared" si="24"/>
        <v>-0.2566974228444162</v>
      </c>
      <c r="K75" s="36">
        <f t="shared" si="24"/>
        <v>2.0617430043157454</v>
      </c>
      <c r="L75" s="33">
        <f>(L17/8405)-1</f>
        <v>0.40499702558001194</v>
      </c>
      <c r="M75" s="33">
        <f>(M17/10228)-1</f>
        <v>-0.22790379350801726</v>
      </c>
      <c r="N75" s="33">
        <f>(N17/14959)-1</f>
        <v>0.0505381375760412</v>
      </c>
      <c r="O75" s="35">
        <f>(O17/P17)-1</f>
        <v>0.24943468429292048</v>
      </c>
      <c r="P75" s="35">
        <f>(P17/18746)-1</f>
        <v>-0.3866424837298623</v>
      </c>
    </row>
    <row r="76" spans="2:16" ht="11.25">
      <c r="B76" s="2" t="s">
        <v>16</v>
      </c>
      <c r="C76" s="33">
        <f aca="true" t="shared" si="25" ref="C76:K76">(C21/G21)-1</f>
        <v>-1</v>
      </c>
      <c r="D76" s="33">
        <f t="shared" si="25"/>
        <v>-0.741262193109451</v>
      </c>
      <c r="E76" s="33">
        <f t="shared" si="25"/>
        <v>-0.10248447204968947</v>
      </c>
      <c r="F76" s="34">
        <f t="shared" si="25"/>
        <v>-0.13608620629944035</v>
      </c>
      <c r="G76" s="35">
        <f t="shared" si="25"/>
        <v>0.004786754569846563</v>
      </c>
      <c r="H76" s="35">
        <f t="shared" si="25"/>
        <v>0.2715195961311583</v>
      </c>
      <c r="I76" s="35">
        <f t="shared" si="25"/>
        <v>0.00505009408022894</v>
      </c>
      <c r="J76" s="35">
        <f t="shared" si="25"/>
        <v>0.012316017628485998</v>
      </c>
      <c r="K76" s="36">
        <f t="shared" si="25"/>
        <v>-0.2164992275859331</v>
      </c>
      <c r="L76" s="33">
        <f>(L21/986169)-1</f>
        <v>-0.18088380389162506</v>
      </c>
      <c r="M76" s="33">
        <f>(M21/993610)-1</f>
        <v>0.0018286852990609948</v>
      </c>
      <c r="N76" s="33">
        <f>(N21/1232080)-1</f>
        <v>-0.21288065710018833</v>
      </c>
      <c r="O76" s="35">
        <f>(O21/P21)-1</f>
        <v>-0.13413566159858903</v>
      </c>
      <c r="P76" s="35">
        <f>(P21/1941309)-1</f>
        <v>-0.2806302345479261</v>
      </c>
    </row>
    <row r="77" spans="1:16" ht="11.25">
      <c r="A77" s="2" t="s">
        <v>66</v>
      </c>
      <c r="C77" s="33">
        <f aca="true" t="shared" si="26" ref="C77:K77">(C25/G25)-1</f>
        <v>-0.8094006037084951</v>
      </c>
      <c r="D77" s="33">
        <f t="shared" si="26"/>
        <v>-0.05317814329523274</v>
      </c>
      <c r="E77" s="33">
        <f t="shared" si="26"/>
        <v>-0.013705541074581662</v>
      </c>
      <c r="F77" s="34">
        <f t="shared" si="26"/>
        <v>0.02790669998809947</v>
      </c>
      <c r="G77" s="35">
        <f t="shared" si="26"/>
        <v>0.2988478156505041</v>
      </c>
      <c r="H77" s="35">
        <f t="shared" si="26"/>
        <v>0.06605245560591433</v>
      </c>
      <c r="I77" s="35">
        <f t="shared" si="26"/>
        <v>0.03959790209790204</v>
      </c>
      <c r="J77" s="35">
        <f t="shared" si="26"/>
        <v>0.302487793536387</v>
      </c>
      <c r="K77" s="36">
        <f t="shared" si="26"/>
        <v>-0.0884026258205689</v>
      </c>
      <c r="L77" s="33">
        <f>(L25/10354)-1</f>
        <v>0.29988410276221744</v>
      </c>
      <c r="M77" s="33">
        <f>(M25/11188)-1</f>
        <v>0.0225241329996424</v>
      </c>
      <c r="N77" s="33">
        <f>(N25/8713)-1</f>
        <v>0.4808906232067027</v>
      </c>
      <c r="O77" s="35">
        <f>(O25/P25)-1</f>
        <v>0.371</v>
      </c>
      <c r="P77" s="35">
        <f>(P25/6801)-1</f>
        <v>0.4703720041170416</v>
      </c>
    </row>
    <row r="78" spans="1:16" ht="11.25">
      <c r="A78" s="3" t="s">
        <v>67</v>
      </c>
      <c r="B78" s="3"/>
      <c r="C78" s="37">
        <f aca="true" t="shared" si="27" ref="C78:K78">(C40/G40)-1</f>
        <v>-0.6077222274926477</v>
      </c>
      <c r="D78" s="37">
        <f t="shared" si="27"/>
        <v>-0.4655730129390019</v>
      </c>
      <c r="E78" s="37">
        <f t="shared" si="27"/>
        <v>-0.5531365908724399</v>
      </c>
      <c r="F78" s="38">
        <f t="shared" si="27"/>
        <v>-0.7583565459610028</v>
      </c>
      <c r="G78" s="37">
        <f t="shared" si="27"/>
        <v>5.229905437352246</v>
      </c>
      <c r="H78" s="37">
        <f t="shared" si="27"/>
        <v>2.26395173453997</v>
      </c>
      <c r="I78" s="37">
        <f t="shared" si="27"/>
        <v>8.827258320126782</v>
      </c>
      <c r="J78" s="37">
        <f t="shared" si="27"/>
        <v>-6.3316831683168315</v>
      </c>
      <c r="K78" s="39">
        <f t="shared" si="27"/>
        <v>-0.7009544008483564</v>
      </c>
      <c r="L78" s="37">
        <f>(L40/2273)-1</f>
        <v>0.16673999120105587</v>
      </c>
      <c r="M78" s="37">
        <f>(M40/3106)-1</f>
        <v>-0.7968448164842241</v>
      </c>
      <c r="N78" s="37">
        <f>(N40/1927)-1</f>
        <v>-1.4193046185781006</v>
      </c>
      <c r="O78" s="37">
        <f>(O40/P40)-1</f>
        <v>-0.1311425061425061</v>
      </c>
      <c r="P78" s="37">
        <f>(P40/6144)-1</f>
        <v>0.05989583333333326</v>
      </c>
    </row>
  </sheetData>
  <sheetProtection/>
  <mergeCells count="4">
    <mergeCell ref="K7:N7"/>
    <mergeCell ref="O7:P7"/>
    <mergeCell ref="G7:J7"/>
    <mergeCell ref="C7:F7"/>
  </mergeCells>
  <printOptions horizontalCentered="1" verticalCentered="1"/>
  <pageMargins left="0.75" right="0.75" top="1" bottom="1" header="0" footer="0"/>
  <pageSetup horizontalDpi="300" verticalDpi="3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2017-06-16T16:20:45Z</dcterms:created>
  <dcterms:modified xsi:type="dcterms:W3CDTF">2017-06-16T16:20:49Z</dcterms:modified>
  <cp:category/>
  <cp:version/>
  <cp:contentType/>
  <cp:contentStatus/>
</cp:coreProperties>
</file>