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C Ahorros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<sst xmlns="http://schemas.openxmlformats.org/spreadsheetml/2006/main" count="89" uniqueCount="68">
  <si>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18-2</t>
  </si>
  <si>
    <t>CAJA DE AHORROS</t>
  </si>
  <si>
    <t>ESTADISTICA FINANCIERA. TRIMESTRES  2000, 2001 Y 2002</t>
  </si>
  <si>
    <t>(En Miles 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</si>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</sst>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6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"/>
    <numFmt numFmtId="208" formatCode="_ * #,##0.0_ ;_ * \-#,##0.0_ ;_ * &quot;-&quot;??_ ;_ @_ "/>
    <numFmt numFmtId="209" formatCode="_ * #,##0_ ;_ * \-#,##0_ ;_ * &quot;-&quot;??_ ;_ @_ "/>
    <numFmt numFmtId="210" formatCode="0.000%"/>
    <numFmt numFmtId="211" formatCode="0.0000%"/>
    <numFmt numFmtId="212" formatCode="0.00000%"/>
    <numFmt numFmtId="213" formatCode="0.000000%"/>
    <numFmt numFmtId="214" formatCode="_(* #,##0.0000_);_(* \(#,##0.0000\);_(* &quot;-&quot;??_);_(@_)"/>
    <numFmt numFmtId="215" formatCode="_ * #,##0.0_ ;_ * \-#,##0.0_ ;_ * &quot;-&quot;?_ ;_ @_ "/>
    <numFmt numFmtId="216" formatCode="#,##0_ ;\-#,##0\ "/>
    <numFmt numFmtId="217" formatCode="#,##0.00000_ ;\-#,##0.00000\ "/>
    <numFmt numFmtId="218" formatCode="#,##0.0000_ ;\-#,##0.0000\ "/>
    <numFmt numFmtId="219" formatCode="#,##0.000_ ;\-#,##0.000\ "/>
    <numFmt numFmtId="220" formatCode="#,##0.00_ ;\-#,##0.00\ "/>
    <numFmt numFmtId="221" formatCode="#,##0.0_ ;\-#,##0.0\ "/>
    <numFmt numFmtId="222" formatCode="_-* #,##0.0\ _€_-;\-* #,##0.0\ _€_-;_-* &quot;-&quot;??\ _€_-;_-@_-"/>
    <numFmt numFmtId="223" formatCode="_-* #,##0\ _€_-;\-* #,##0\ _€_-;_-* &quot;-&quot;??\ _€_-;_-@_-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195" fontId="1" fillId="0" borderId="0" xfId="46" applyNumberFormat="1" applyFont="1" applyAlignment="1">
      <alignment/>
    </xf>
    <xf numFmtId="49" fontId="1" fillId="0" borderId="0" xfId="46" applyNumberFormat="1" applyFont="1" applyAlignment="1">
      <alignment/>
    </xf>
    <xf numFmtId="195" fontId="1" fillId="0" borderId="0" xfId="46" applyNumberFormat="1" applyFont="1" applyFill="1" applyAlignment="1">
      <alignment/>
    </xf>
    <xf numFmtId="10" fontId="1" fillId="0" borderId="0" xfId="52" applyNumberFormat="1" applyFont="1" applyAlignment="1">
      <alignment/>
    </xf>
    <xf numFmtId="195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/>
    </xf>
    <xf numFmtId="195" fontId="3" fillId="0" borderId="0" xfId="46" applyNumberFormat="1" applyFont="1" applyBorder="1" applyAlignment="1">
      <alignment/>
    </xf>
    <xf numFmtId="49" fontId="3" fillId="0" borderId="11" xfId="46" applyNumberFormat="1" applyFont="1" applyBorder="1" applyAlignment="1">
      <alignment/>
    </xf>
    <xf numFmtId="49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 horizontal="center"/>
    </xf>
    <xf numFmtId="195" fontId="3" fillId="0" borderId="12" xfId="46" applyNumberFormat="1" applyFont="1" applyBorder="1" applyAlignment="1">
      <alignment horizontal="center"/>
    </xf>
    <xf numFmtId="195" fontId="3" fillId="0" borderId="13" xfId="46" applyNumberFormat="1" applyFont="1" applyBorder="1" applyAlignment="1">
      <alignment horizontal="center"/>
    </xf>
    <xf numFmtId="195" fontId="3" fillId="0" borderId="14" xfId="46" applyNumberFormat="1" applyFont="1" applyBorder="1" applyAlignment="1">
      <alignment horizontal="center"/>
    </xf>
    <xf numFmtId="195" fontId="3" fillId="0" borderId="10" xfId="46" applyNumberFormat="1" applyFont="1" applyBorder="1" applyAlignment="1">
      <alignment horizontal="right"/>
    </xf>
    <xf numFmtId="195" fontId="3" fillId="0" borderId="15" xfId="46" applyNumberFormat="1" applyFont="1" applyBorder="1" applyAlignment="1">
      <alignment horizontal="right"/>
    </xf>
    <xf numFmtId="195" fontId="2" fillId="0" borderId="0" xfId="46" applyNumberFormat="1" applyFont="1" applyAlignment="1">
      <alignment/>
    </xf>
    <xf numFmtId="195" fontId="2" fillId="0" borderId="0" xfId="46" applyNumberFormat="1" applyFont="1" applyBorder="1" applyAlignment="1">
      <alignment/>
    </xf>
    <xf numFmtId="195" fontId="2" fillId="0" borderId="16" xfId="46" applyNumberFormat="1" applyFont="1" applyBorder="1" applyAlignment="1">
      <alignment/>
    </xf>
    <xf numFmtId="195" fontId="2" fillId="0" borderId="17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7" xfId="46" applyNumberFormat="1" applyFont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195" fontId="3" fillId="0" borderId="0" xfId="46" applyNumberFormat="1" applyFont="1" applyFill="1" applyAlignment="1">
      <alignment/>
    </xf>
    <xf numFmtId="195" fontId="3" fillId="0" borderId="0" xfId="46" applyNumberFormat="1" applyFont="1" applyFill="1" applyBorder="1" applyAlignment="1">
      <alignment/>
    </xf>
    <xf numFmtId="195" fontId="3" fillId="0" borderId="16" xfId="46" applyNumberFormat="1" applyFont="1" applyFill="1" applyBorder="1" applyAlignment="1">
      <alignment/>
    </xf>
    <xf numFmtId="195" fontId="3" fillId="0" borderId="17" xfId="46" applyNumberFormat="1" applyFont="1" applyFill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6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7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0" fontId="3" fillId="0" borderId="18" xfId="52" applyNumberFormat="1" applyFont="1" applyBorder="1" applyAlignment="1">
      <alignment/>
    </xf>
    <xf numFmtId="10" fontId="3" fillId="0" borderId="19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95" fontId="3" fillId="0" borderId="15" xfId="46" applyNumberFormat="1" applyFont="1" applyBorder="1" applyAlignment="1">
      <alignment horizontal="center"/>
    </xf>
    <xf numFmtId="195" fontId="3" fillId="0" borderId="0" xfId="46" applyNumberFormat="1" applyFont="1" applyAlignment="1">
      <alignment horizontal="center"/>
    </xf>
    <xf numFmtId="195" fontId="2" fillId="0" borderId="0" xfId="46" applyNumberFormat="1" applyFont="1" applyAlignment="1">
      <alignment horizontal="center"/>
    </xf>
    <xf numFmtId="49" fontId="2" fillId="0" borderId="20" xfId="46" applyNumberFormat="1" applyFont="1" applyBorder="1" applyAlignment="1">
      <alignment horizontal="center"/>
    </xf>
    <xf numFmtId="49" fontId="2" fillId="0" borderId="12" xfId="46" applyNumberFormat="1" applyFont="1" applyBorder="1" applyAlignment="1">
      <alignment horizontal="center"/>
    </xf>
    <xf numFmtId="49" fontId="2" fillId="0" borderId="13" xfId="46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1" sqref="E11"/>
    </sheetView>
  </sheetViews>
  <sheetFormatPr defaultColWidth="11.421875" defaultRowHeight="12.75"/>
  <cols>
    <col min="1" max="1" width="3.7109375" style="5" customWidth="1"/>
    <col min="2" max="2" width="26.421875" style="5" customWidth="1"/>
    <col min="3" max="3" width="8.140625" style="5" bestFit="1" customWidth="1"/>
    <col min="4" max="4" width="8.7109375" style="5" bestFit="1" customWidth="1"/>
    <col min="5" max="13" width="8.140625" style="5" bestFit="1" customWidth="1"/>
    <col min="14" max="14" width="7.57421875" style="5" customWidth="1"/>
    <col min="15" max="15" width="6.28125" style="5" hidden="1" customWidth="1"/>
    <col min="16" max="16" width="0.2890625" style="5" hidden="1" customWidth="1"/>
    <col min="17" max="19" width="11.421875" style="5" customWidth="1"/>
    <col min="20" max="16384" width="11.421875" style="1" customWidth="1"/>
  </cols>
  <sheetData>
    <row r="1" spans="2:16" ht="11.25">
      <c r="B1" s="40"/>
      <c r="C1" s="40"/>
      <c r="D1" s="40"/>
      <c r="E1" s="40"/>
      <c r="F1" s="40"/>
      <c r="G1" s="40" t="s">
        <v>0</v>
      </c>
      <c r="H1" s="40"/>
      <c r="I1" s="40"/>
      <c r="J1" s="40"/>
      <c r="K1" s="40"/>
      <c r="L1" s="40"/>
      <c r="M1" s="40"/>
      <c r="N1" s="40"/>
      <c r="O1" s="40"/>
      <c r="P1" s="40"/>
    </row>
    <row r="2" spans="2:16" ht="11.25">
      <c r="B2" s="40"/>
      <c r="C2" s="40"/>
      <c r="D2" s="40"/>
      <c r="E2" s="40"/>
      <c r="F2" s="40"/>
      <c r="G2" s="40" t="s">
        <v>1</v>
      </c>
      <c r="H2" s="40"/>
      <c r="I2" s="40"/>
      <c r="J2" s="40"/>
      <c r="K2" s="40"/>
      <c r="L2" s="40"/>
      <c r="M2" s="40"/>
      <c r="N2" s="40"/>
      <c r="O2" s="40"/>
      <c r="P2" s="40"/>
    </row>
    <row r="3" spans="2:16" ht="11.25">
      <c r="B3" s="40"/>
      <c r="C3" s="40"/>
      <c r="D3" s="40"/>
      <c r="E3" s="40"/>
      <c r="F3" s="40"/>
      <c r="G3" s="40" t="s">
        <v>2</v>
      </c>
      <c r="H3" s="40"/>
      <c r="I3" s="40"/>
      <c r="J3" s="40"/>
      <c r="K3" s="40"/>
      <c r="L3" s="40"/>
      <c r="M3" s="40"/>
      <c r="N3" s="40"/>
      <c r="O3" s="40"/>
      <c r="P3" s="40"/>
    </row>
    <row r="4" spans="1:16" ht="11.25">
      <c r="A4" s="1"/>
      <c r="B4" s="39"/>
      <c r="C4" s="39"/>
      <c r="D4" s="39"/>
      <c r="E4" s="39"/>
      <c r="F4" s="39"/>
      <c r="G4" s="39" t="s">
        <v>3</v>
      </c>
      <c r="H4" s="39"/>
      <c r="I4" s="39"/>
      <c r="J4" s="39"/>
      <c r="K4" s="39"/>
      <c r="L4" s="39"/>
      <c r="M4" s="39"/>
      <c r="N4" s="39"/>
      <c r="O4" s="39"/>
      <c r="P4" s="39"/>
    </row>
    <row r="5" spans="1:16" ht="11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1.25">
      <c r="A6" s="6"/>
      <c r="B6" s="6"/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7"/>
      <c r="O6" s="6"/>
      <c r="P6" s="6"/>
    </row>
    <row r="7" spans="1:19" s="2" customFormat="1" ht="11.25">
      <c r="A7" s="8"/>
      <c r="B7" s="8"/>
      <c r="C7" s="42">
        <v>2002</v>
      </c>
      <c r="D7" s="42"/>
      <c r="E7" s="42"/>
      <c r="F7" s="43"/>
      <c r="G7" s="41">
        <v>2001</v>
      </c>
      <c r="H7" s="42"/>
      <c r="I7" s="42"/>
      <c r="J7" s="43"/>
      <c r="K7" s="41">
        <v>2000</v>
      </c>
      <c r="L7" s="42"/>
      <c r="M7" s="42"/>
      <c r="N7" s="43"/>
      <c r="O7" s="42" t="s">
        <v>4</v>
      </c>
      <c r="P7" s="43"/>
      <c r="Q7" s="9"/>
      <c r="R7" s="9"/>
      <c r="S7" s="9"/>
    </row>
    <row r="8" spans="1:16" ht="11.25">
      <c r="A8" s="10"/>
      <c r="B8" s="10"/>
      <c r="C8" s="10" t="s">
        <v>5</v>
      </c>
      <c r="D8" s="10" t="s">
        <v>6</v>
      </c>
      <c r="E8" s="11" t="s">
        <v>7</v>
      </c>
      <c r="F8" s="12" t="s">
        <v>8</v>
      </c>
      <c r="G8" s="10" t="s">
        <v>5</v>
      </c>
      <c r="H8" s="10" t="s">
        <v>6</v>
      </c>
      <c r="I8" s="10" t="s">
        <v>7</v>
      </c>
      <c r="J8" s="10" t="s">
        <v>8</v>
      </c>
      <c r="K8" s="13" t="s">
        <v>5</v>
      </c>
      <c r="L8" s="10" t="s">
        <v>6</v>
      </c>
      <c r="M8" s="10" t="s">
        <v>7</v>
      </c>
      <c r="N8" s="38" t="s">
        <v>8</v>
      </c>
      <c r="O8" s="14" t="s">
        <v>9</v>
      </c>
      <c r="P8" s="15" t="s">
        <v>10</v>
      </c>
    </row>
    <row r="9" spans="1:16" ht="11.25">
      <c r="A9" s="16" t="s">
        <v>11</v>
      </c>
      <c r="B9" s="16"/>
      <c r="C9" s="16"/>
      <c r="D9" s="16"/>
      <c r="E9" s="17"/>
      <c r="F9" s="18"/>
      <c r="G9" s="16"/>
      <c r="H9" s="16"/>
      <c r="I9" s="16"/>
      <c r="J9" s="16"/>
      <c r="K9" s="19"/>
      <c r="L9" s="17"/>
      <c r="M9" s="17"/>
      <c r="N9" s="18"/>
      <c r="O9" s="17"/>
      <c r="P9" s="18"/>
    </row>
    <row r="10" spans="1:16" ht="11.25">
      <c r="A10" s="5" t="s">
        <v>12</v>
      </c>
      <c r="C10" s="5">
        <v>959291</v>
      </c>
      <c r="D10" s="5">
        <v>962120</v>
      </c>
      <c r="E10" s="7">
        <v>941459</v>
      </c>
      <c r="F10" s="20">
        <v>905351</v>
      </c>
      <c r="G10" s="5">
        <v>895373</v>
      </c>
      <c r="H10" s="5">
        <v>891434</v>
      </c>
      <c r="I10" s="5">
        <v>883656</v>
      </c>
      <c r="J10" s="5">
        <v>831969</v>
      </c>
      <c r="K10" s="21">
        <v>802700</v>
      </c>
      <c r="L10" s="7">
        <v>784828</v>
      </c>
      <c r="M10" s="7">
        <v>743834</v>
      </c>
      <c r="N10" s="20">
        <v>728839</v>
      </c>
      <c r="O10" s="7">
        <v>682366</v>
      </c>
      <c r="P10" s="20">
        <v>654958</v>
      </c>
    </row>
    <row r="11" spans="1:16" ht="11.25">
      <c r="A11" s="5" t="s">
        <v>13</v>
      </c>
      <c r="C11" s="5">
        <v>186219</v>
      </c>
      <c r="D11" s="5">
        <v>204234</v>
      </c>
      <c r="E11" s="7">
        <v>209945</v>
      </c>
      <c r="F11" s="20">
        <v>201656</v>
      </c>
      <c r="G11" s="5">
        <v>203462</v>
      </c>
      <c r="H11" s="5">
        <v>237033</v>
      </c>
      <c r="I11" s="5">
        <v>221915</v>
      </c>
      <c r="J11" s="5">
        <v>217923</v>
      </c>
      <c r="K11" s="21">
        <v>224750</v>
      </c>
      <c r="L11" s="7">
        <v>235209</v>
      </c>
      <c r="M11" s="7">
        <v>194445</v>
      </c>
      <c r="N11" s="20">
        <v>213294</v>
      </c>
      <c r="O11" s="7">
        <v>190861</v>
      </c>
      <c r="P11" s="20">
        <v>198612</v>
      </c>
    </row>
    <row r="12" spans="1:16" ht="11.25">
      <c r="A12" s="5" t="s">
        <v>14</v>
      </c>
      <c r="C12" s="7">
        <f>C13+C14</f>
        <v>519216</v>
      </c>
      <c r="D12" s="7">
        <f>D13+D14</f>
        <v>524604</v>
      </c>
      <c r="E12" s="7">
        <v>517435</v>
      </c>
      <c r="F12" s="20">
        <f aca="true" t="shared" si="0" ref="F12:P12">F13+F14</f>
        <v>510032</v>
      </c>
      <c r="G12" s="5">
        <f t="shared" si="0"/>
        <v>500231</v>
      </c>
      <c r="H12" s="5">
        <f t="shared" si="0"/>
        <v>478479</v>
      </c>
      <c r="I12" s="5">
        <f t="shared" si="0"/>
        <v>473033</v>
      </c>
      <c r="J12" s="5">
        <f t="shared" si="0"/>
        <v>456906</v>
      </c>
      <c r="K12" s="21">
        <f t="shared" si="0"/>
        <v>432658</v>
      </c>
      <c r="L12" s="7">
        <f t="shared" si="0"/>
        <v>421708</v>
      </c>
      <c r="M12" s="7">
        <f t="shared" si="0"/>
        <v>420147</v>
      </c>
      <c r="N12" s="20">
        <f t="shared" si="0"/>
        <v>407389</v>
      </c>
      <c r="O12" s="7">
        <f t="shared" si="0"/>
        <v>383561</v>
      </c>
      <c r="P12" s="20">
        <f t="shared" si="0"/>
        <v>361385</v>
      </c>
    </row>
    <row r="13" spans="2:16" ht="11.25">
      <c r="B13" s="5" t="s">
        <v>15</v>
      </c>
      <c r="C13" s="5">
        <v>519216</v>
      </c>
      <c r="D13" s="5">
        <v>524604</v>
      </c>
      <c r="E13" s="7">
        <v>517272</v>
      </c>
      <c r="F13" s="20">
        <v>510032</v>
      </c>
      <c r="G13" s="5">
        <v>500231</v>
      </c>
      <c r="H13" s="5">
        <v>478479</v>
      </c>
      <c r="I13" s="5">
        <v>473033</v>
      </c>
      <c r="J13" s="5">
        <v>456906</v>
      </c>
      <c r="K13" s="21">
        <v>432658</v>
      </c>
      <c r="L13" s="7">
        <v>421708</v>
      </c>
      <c r="M13" s="7">
        <v>420147</v>
      </c>
      <c r="N13" s="20">
        <v>407389</v>
      </c>
      <c r="O13" s="7">
        <v>383561</v>
      </c>
      <c r="P13" s="20">
        <v>361385</v>
      </c>
    </row>
    <row r="14" spans="2:16" ht="11.25">
      <c r="B14" s="5" t="s">
        <v>16</v>
      </c>
      <c r="C14" s="5">
        <v>0</v>
      </c>
      <c r="D14" s="5">
        <v>0</v>
      </c>
      <c r="E14" s="7">
        <v>0</v>
      </c>
      <c r="F14" s="20">
        <v>0</v>
      </c>
      <c r="G14" s="5">
        <v>0</v>
      </c>
      <c r="H14" s="5">
        <v>0</v>
      </c>
      <c r="I14" s="5">
        <v>0</v>
      </c>
      <c r="J14" s="5">
        <v>0</v>
      </c>
      <c r="K14" s="21">
        <v>0</v>
      </c>
      <c r="L14" s="7">
        <v>0</v>
      </c>
      <c r="M14" s="7">
        <v>0</v>
      </c>
      <c r="N14" s="20">
        <v>0</v>
      </c>
      <c r="O14" s="7">
        <v>0</v>
      </c>
      <c r="P14" s="20">
        <v>0</v>
      </c>
    </row>
    <row r="15" spans="1:16" ht="11.25">
      <c r="A15" s="5" t="s">
        <v>17</v>
      </c>
      <c r="C15" s="5">
        <v>133978</v>
      </c>
      <c r="D15" s="5">
        <v>124808</v>
      </c>
      <c r="E15" s="7">
        <v>120287</v>
      </c>
      <c r="F15" s="20">
        <v>119227</v>
      </c>
      <c r="G15" s="5">
        <v>117069</v>
      </c>
      <c r="H15" s="5">
        <v>110019</v>
      </c>
      <c r="I15" s="5">
        <v>107657</v>
      </c>
      <c r="J15" s="5">
        <v>82469</v>
      </c>
      <c r="K15" s="21">
        <v>69719</v>
      </c>
      <c r="L15" s="7">
        <v>61309</v>
      </c>
      <c r="M15" s="7">
        <v>61762</v>
      </c>
      <c r="N15" s="20">
        <v>43818</v>
      </c>
      <c r="O15" s="7">
        <v>44641</v>
      </c>
      <c r="P15" s="20">
        <v>36369</v>
      </c>
    </row>
    <row r="16" spans="1:16" ht="11.25">
      <c r="A16" s="5" t="s">
        <v>18</v>
      </c>
      <c r="C16" s="7">
        <f aca="true" t="shared" si="1" ref="C16:P16">C17+C21</f>
        <v>624860</v>
      </c>
      <c r="D16" s="7">
        <f t="shared" si="1"/>
        <v>632539</v>
      </c>
      <c r="E16" s="7">
        <f t="shared" si="1"/>
        <v>615880</v>
      </c>
      <c r="F16" s="20">
        <f t="shared" si="1"/>
        <v>586040</v>
      </c>
      <c r="G16" s="5">
        <f t="shared" si="1"/>
        <v>573762</v>
      </c>
      <c r="H16" s="5">
        <f t="shared" si="1"/>
        <v>578880</v>
      </c>
      <c r="I16" s="5">
        <f t="shared" si="1"/>
        <v>564815</v>
      </c>
      <c r="J16" s="5">
        <f t="shared" si="1"/>
        <v>515791</v>
      </c>
      <c r="K16" s="21">
        <f t="shared" si="1"/>
        <v>468013</v>
      </c>
      <c r="L16" s="7">
        <f t="shared" si="1"/>
        <v>466414</v>
      </c>
      <c r="M16" s="7">
        <f t="shared" si="1"/>
        <v>445847</v>
      </c>
      <c r="N16" s="20">
        <f t="shared" si="1"/>
        <v>452912</v>
      </c>
      <c r="O16" s="7">
        <f t="shared" si="1"/>
        <v>402347</v>
      </c>
      <c r="P16" s="20">
        <f t="shared" si="1"/>
        <v>381845</v>
      </c>
    </row>
    <row r="17" spans="2:16" ht="11.25">
      <c r="B17" s="5" t="s">
        <v>15</v>
      </c>
      <c r="C17" s="7">
        <f aca="true" t="shared" si="2" ref="C17:P17">SUM(C18:C20)</f>
        <v>624860</v>
      </c>
      <c r="D17" s="7">
        <f t="shared" si="2"/>
        <v>632539</v>
      </c>
      <c r="E17" s="7">
        <f t="shared" si="2"/>
        <v>615880</v>
      </c>
      <c r="F17" s="20">
        <f t="shared" si="2"/>
        <v>586040</v>
      </c>
      <c r="G17" s="5">
        <f t="shared" si="2"/>
        <v>573762</v>
      </c>
      <c r="H17" s="5">
        <f t="shared" si="2"/>
        <v>578880</v>
      </c>
      <c r="I17" s="5">
        <f t="shared" si="2"/>
        <v>564815</v>
      </c>
      <c r="J17" s="5">
        <f t="shared" si="2"/>
        <v>515791</v>
      </c>
      <c r="K17" s="21">
        <f t="shared" si="2"/>
        <v>468013</v>
      </c>
      <c r="L17" s="7">
        <f t="shared" si="2"/>
        <v>466414</v>
      </c>
      <c r="M17" s="7">
        <f t="shared" si="2"/>
        <v>445847</v>
      </c>
      <c r="N17" s="20">
        <f t="shared" si="2"/>
        <v>452912</v>
      </c>
      <c r="O17" s="7">
        <f t="shared" si="2"/>
        <v>402347</v>
      </c>
      <c r="P17" s="20">
        <f t="shared" si="2"/>
        <v>381845</v>
      </c>
    </row>
    <row r="18" spans="2:16" ht="11.25">
      <c r="B18" s="5" t="s">
        <v>19</v>
      </c>
      <c r="C18" s="5">
        <v>138834</v>
      </c>
      <c r="D18" s="7">
        <v>138834</v>
      </c>
      <c r="E18" s="7">
        <v>138834</v>
      </c>
      <c r="F18" s="20">
        <v>138834</v>
      </c>
      <c r="G18" s="5">
        <v>143230</v>
      </c>
      <c r="H18" s="5">
        <v>140280</v>
      </c>
      <c r="I18" s="5">
        <v>136533</v>
      </c>
      <c r="J18" s="5">
        <v>111016</v>
      </c>
      <c r="K18" s="21">
        <v>77863</v>
      </c>
      <c r="L18" s="7">
        <v>68501</v>
      </c>
      <c r="M18" s="7">
        <v>52806</v>
      </c>
      <c r="N18" s="20">
        <v>62833</v>
      </c>
      <c r="O18" s="7">
        <v>1375</v>
      </c>
      <c r="P18" s="20">
        <v>1643</v>
      </c>
    </row>
    <row r="19" spans="2:16" ht="11.25">
      <c r="B19" s="5" t="s">
        <v>20</v>
      </c>
      <c r="C19" s="5">
        <v>483537</v>
      </c>
      <c r="D19" s="5">
        <v>477856</v>
      </c>
      <c r="E19" s="7">
        <v>451198</v>
      </c>
      <c r="F19" s="20">
        <v>424349</v>
      </c>
      <c r="G19" s="5">
        <v>404179</v>
      </c>
      <c r="H19" s="5">
        <v>408277</v>
      </c>
      <c r="I19" s="5">
        <v>396068</v>
      </c>
      <c r="J19" s="5">
        <v>386838</v>
      </c>
      <c r="K19" s="21">
        <v>375847</v>
      </c>
      <c r="L19" s="7">
        <v>391503</v>
      </c>
      <c r="M19" s="7">
        <v>389140</v>
      </c>
      <c r="N19" s="20">
        <v>385352</v>
      </c>
      <c r="O19" s="7">
        <v>384202</v>
      </c>
      <c r="P19" s="20">
        <v>374090</v>
      </c>
    </row>
    <row r="20" spans="2:16" ht="11.25">
      <c r="B20" s="5" t="s">
        <v>21</v>
      </c>
      <c r="C20" s="5">
        <v>2489</v>
      </c>
      <c r="D20" s="5">
        <v>15849</v>
      </c>
      <c r="E20" s="7">
        <v>25848</v>
      </c>
      <c r="F20" s="20">
        <v>22857</v>
      </c>
      <c r="G20" s="5">
        <v>26353</v>
      </c>
      <c r="H20" s="5">
        <v>30323</v>
      </c>
      <c r="I20" s="5">
        <v>32214</v>
      </c>
      <c r="J20" s="5">
        <v>17937</v>
      </c>
      <c r="K20" s="21">
        <v>14303</v>
      </c>
      <c r="L20" s="7">
        <v>6410</v>
      </c>
      <c r="M20" s="7">
        <v>3901</v>
      </c>
      <c r="N20" s="20">
        <v>4727</v>
      </c>
      <c r="O20" s="7">
        <v>16770</v>
      </c>
      <c r="P20" s="20">
        <v>6112</v>
      </c>
    </row>
    <row r="21" spans="2:16" ht="11.25">
      <c r="B21" s="5" t="s">
        <v>16</v>
      </c>
      <c r="C21" s="5">
        <f>SUM(C22:C24)</f>
        <v>0</v>
      </c>
      <c r="D21" s="7">
        <f aca="true" t="shared" si="3" ref="D21:P21">SUM(D23:D24)</f>
        <v>0</v>
      </c>
      <c r="E21" s="7">
        <f t="shared" si="3"/>
        <v>0</v>
      </c>
      <c r="F21" s="20">
        <f t="shared" si="3"/>
        <v>0</v>
      </c>
      <c r="G21" s="5">
        <f t="shared" si="3"/>
        <v>0</v>
      </c>
      <c r="H21" s="5">
        <f t="shared" si="3"/>
        <v>0</v>
      </c>
      <c r="I21" s="5">
        <f t="shared" si="3"/>
        <v>0</v>
      </c>
      <c r="J21" s="5">
        <f t="shared" si="3"/>
        <v>0</v>
      </c>
      <c r="K21" s="21">
        <f t="shared" si="3"/>
        <v>0</v>
      </c>
      <c r="L21" s="7">
        <f t="shared" si="3"/>
        <v>0</v>
      </c>
      <c r="M21" s="7">
        <f t="shared" si="3"/>
        <v>0</v>
      </c>
      <c r="N21" s="20">
        <f t="shared" si="3"/>
        <v>0</v>
      </c>
      <c r="O21" s="7">
        <f t="shared" si="3"/>
        <v>0</v>
      </c>
      <c r="P21" s="20">
        <f t="shared" si="3"/>
        <v>0</v>
      </c>
    </row>
    <row r="22" spans="2:16" ht="11.25">
      <c r="B22" s="5" t="s">
        <v>19</v>
      </c>
      <c r="C22" s="5">
        <v>0</v>
      </c>
      <c r="D22" s="7">
        <v>0</v>
      </c>
      <c r="E22" s="7">
        <v>0</v>
      </c>
      <c r="F22" s="20">
        <v>0</v>
      </c>
      <c r="G22" s="5">
        <v>0</v>
      </c>
      <c r="H22" s="5">
        <v>0</v>
      </c>
      <c r="I22" s="5">
        <v>0</v>
      </c>
      <c r="J22" s="5">
        <v>0</v>
      </c>
      <c r="K22" s="21">
        <v>0</v>
      </c>
      <c r="L22" s="7">
        <v>0</v>
      </c>
      <c r="M22" s="7">
        <v>0</v>
      </c>
      <c r="N22" s="20">
        <v>0</v>
      </c>
      <c r="O22" s="7"/>
      <c r="P22" s="20"/>
    </row>
    <row r="23" spans="2:16" ht="11.25">
      <c r="B23" s="5" t="s">
        <v>20</v>
      </c>
      <c r="C23" s="5">
        <v>0</v>
      </c>
      <c r="D23" s="5">
        <v>0</v>
      </c>
      <c r="E23" s="7">
        <v>0</v>
      </c>
      <c r="F23" s="20">
        <v>0</v>
      </c>
      <c r="G23" s="5">
        <v>0</v>
      </c>
      <c r="H23" s="5">
        <v>0</v>
      </c>
      <c r="I23" s="5">
        <v>0</v>
      </c>
      <c r="J23" s="5">
        <v>0</v>
      </c>
      <c r="K23" s="21">
        <v>0</v>
      </c>
      <c r="L23" s="7">
        <v>0</v>
      </c>
      <c r="M23" s="7">
        <v>0</v>
      </c>
      <c r="N23" s="20">
        <v>0</v>
      </c>
      <c r="O23" s="7">
        <v>0</v>
      </c>
      <c r="P23" s="20">
        <v>0</v>
      </c>
    </row>
    <row r="24" spans="2:16" ht="11.25">
      <c r="B24" s="5" t="s">
        <v>21</v>
      </c>
      <c r="C24" s="5">
        <v>0</v>
      </c>
      <c r="D24" s="5">
        <v>0</v>
      </c>
      <c r="E24" s="7">
        <v>0</v>
      </c>
      <c r="F24" s="20">
        <v>0</v>
      </c>
      <c r="G24" s="5">
        <v>0</v>
      </c>
      <c r="H24" s="5">
        <v>0</v>
      </c>
      <c r="I24" s="5">
        <v>0</v>
      </c>
      <c r="J24" s="5">
        <v>0</v>
      </c>
      <c r="K24" s="21">
        <v>0</v>
      </c>
      <c r="L24" s="7">
        <v>0</v>
      </c>
      <c r="M24" s="7">
        <v>0</v>
      </c>
      <c r="N24" s="20">
        <v>0</v>
      </c>
      <c r="O24" s="7">
        <v>0</v>
      </c>
      <c r="P24" s="20">
        <v>0</v>
      </c>
    </row>
    <row r="25" spans="1:16" ht="11.25">
      <c r="A25" s="6" t="s">
        <v>22</v>
      </c>
      <c r="B25" s="6"/>
      <c r="C25" s="6">
        <v>117634</v>
      </c>
      <c r="D25" s="6">
        <v>111884</v>
      </c>
      <c r="E25" s="6">
        <v>114395</v>
      </c>
      <c r="F25" s="22">
        <v>112753</v>
      </c>
      <c r="G25" s="6">
        <v>110052</v>
      </c>
      <c r="H25" s="6">
        <v>108015</v>
      </c>
      <c r="I25" s="6">
        <v>105971</v>
      </c>
      <c r="J25" s="6">
        <v>103416</v>
      </c>
      <c r="K25" s="23">
        <v>102583</v>
      </c>
      <c r="L25" s="6">
        <v>100381</v>
      </c>
      <c r="M25" s="6">
        <v>97574</v>
      </c>
      <c r="N25" s="22">
        <v>96714</v>
      </c>
      <c r="O25" s="6">
        <v>95965</v>
      </c>
      <c r="P25" s="22">
        <v>95649</v>
      </c>
    </row>
    <row r="26" spans="1:16" ht="11.25">
      <c r="A26" s="16" t="s">
        <v>23</v>
      </c>
      <c r="E26" s="7"/>
      <c r="F26" s="20"/>
      <c r="K26" s="21"/>
      <c r="L26" s="7"/>
      <c r="M26" s="7"/>
      <c r="N26" s="20"/>
      <c r="O26" s="7"/>
      <c r="P26" s="20"/>
    </row>
    <row r="27" spans="1:16" ht="11.25">
      <c r="A27" s="5" t="s">
        <v>12</v>
      </c>
      <c r="C27" s="7">
        <f aca="true" t="shared" si="4" ref="C27:J27">(C10+G10)/2</f>
        <v>927332</v>
      </c>
      <c r="D27" s="7">
        <f t="shared" si="4"/>
        <v>926777</v>
      </c>
      <c r="E27" s="7">
        <f t="shared" si="4"/>
        <v>912557.5</v>
      </c>
      <c r="F27" s="20">
        <f t="shared" si="4"/>
        <v>868660</v>
      </c>
      <c r="G27" s="5">
        <f t="shared" si="4"/>
        <v>849036.5</v>
      </c>
      <c r="H27" s="5">
        <f t="shared" si="4"/>
        <v>838131</v>
      </c>
      <c r="I27" s="5">
        <f t="shared" si="4"/>
        <v>813745</v>
      </c>
      <c r="J27" s="5">
        <f t="shared" si="4"/>
        <v>780404</v>
      </c>
      <c r="K27" s="21">
        <v>742533</v>
      </c>
      <c r="L27" s="7">
        <v>733867</v>
      </c>
      <c r="M27" s="7">
        <v>710829</v>
      </c>
      <c r="N27" s="20">
        <v>699469</v>
      </c>
      <c r="O27" s="7">
        <f>(O10+P10)/2</f>
        <v>668662</v>
      </c>
      <c r="P27" s="20">
        <f>(P10+658765)/2</f>
        <v>656861.5</v>
      </c>
    </row>
    <row r="28" spans="1:16" ht="11.25">
      <c r="A28" s="5" t="s">
        <v>24</v>
      </c>
      <c r="C28" s="7">
        <f aca="true" t="shared" si="5" ref="C28:P28">C29+C30</f>
        <v>635247</v>
      </c>
      <c r="D28" s="7">
        <f t="shared" si="5"/>
        <v>618955</v>
      </c>
      <c r="E28" s="7">
        <f t="shared" si="5"/>
        <v>609206</v>
      </c>
      <c r="F28" s="20">
        <f t="shared" si="5"/>
        <v>584317</v>
      </c>
      <c r="G28" s="5">
        <f t="shared" si="5"/>
        <v>559838.5</v>
      </c>
      <c r="H28" s="5">
        <f t="shared" si="5"/>
        <v>535757.5</v>
      </c>
      <c r="I28" s="5">
        <f t="shared" si="5"/>
        <v>531299.5</v>
      </c>
      <c r="J28" s="5">
        <f t="shared" si="5"/>
        <v>495291</v>
      </c>
      <c r="K28" s="21">
        <f t="shared" si="5"/>
        <v>465288</v>
      </c>
      <c r="L28" s="7">
        <f t="shared" si="5"/>
        <v>449772</v>
      </c>
      <c r="M28" s="7">
        <f t="shared" si="5"/>
        <v>447518</v>
      </c>
      <c r="N28" s="20">
        <f t="shared" si="5"/>
        <v>430774</v>
      </c>
      <c r="O28" s="7">
        <f t="shared" si="5"/>
        <v>412978</v>
      </c>
      <c r="P28" s="20">
        <f t="shared" si="5"/>
        <v>395349.5</v>
      </c>
    </row>
    <row r="29" spans="2:16" ht="11.25">
      <c r="B29" s="5" t="s">
        <v>14</v>
      </c>
      <c r="C29" s="7">
        <f aca="true" t="shared" si="6" ref="C29:J29">(C12+G12)/2</f>
        <v>509723.5</v>
      </c>
      <c r="D29" s="7">
        <f t="shared" si="6"/>
        <v>501541.5</v>
      </c>
      <c r="E29" s="7">
        <f t="shared" si="6"/>
        <v>495234</v>
      </c>
      <c r="F29" s="20">
        <f t="shared" si="6"/>
        <v>483469</v>
      </c>
      <c r="G29" s="5">
        <f t="shared" si="6"/>
        <v>466444.5</v>
      </c>
      <c r="H29" s="5">
        <f t="shared" si="6"/>
        <v>450093.5</v>
      </c>
      <c r="I29" s="5">
        <f t="shared" si="6"/>
        <v>446590</v>
      </c>
      <c r="J29" s="5">
        <f t="shared" si="6"/>
        <v>432147.5</v>
      </c>
      <c r="K29" s="21">
        <v>408108</v>
      </c>
      <c r="L29" s="7">
        <v>398435</v>
      </c>
      <c r="M29" s="7">
        <v>391413</v>
      </c>
      <c r="N29" s="20">
        <v>383935</v>
      </c>
      <c r="O29" s="7">
        <f>(O12+P12)/2</f>
        <v>372473</v>
      </c>
      <c r="P29" s="20">
        <f>(P12+356831)/2</f>
        <v>359108</v>
      </c>
    </row>
    <row r="30" spans="2:16" ht="11.25">
      <c r="B30" s="5" t="s">
        <v>17</v>
      </c>
      <c r="C30" s="7">
        <f aca="true" t="shared" si="7" ref="C30:J30">(C15+G15)/2</f>
        <v>125523.5</v>
      </c>
      <c r="D30" s="7">
        <f t="shared" si="7"/>
        <v>117413.5</v>
      </c>
      <c r="E30" s="7">
        <f t="shared" si="7"/>
        <v>113972</v>
      </c>
      <c r="F30" s="20">
        <f t="shared" si="7"/>
        <v>100848</v>
      </c>
      <c r="G30" s="5">
        <f t="shared" si="7"/>
        <v>93394</v>
      </c>
      <c r="H30" s="5">
        <f t="shared" si="7"/>
        <v>85664</v>
      </c>
      <c r="I30" s="5">
        <f t="shared" si="7"/>
        <v>84709.5</v>
      </c>
      <c r="J30" s="5">
        <f t="shared" si="7"/>
        <v>63143.5</v>
      </c>
      <c r="K30" s="21">
        <v>57180</v>
      </c>
      <c r="L30" s="7">
        <v>51337</v>
      </c>
      <c r="M30" s="7">
        <v>56105</v>
      </c>
      <c r="N30" s="20">
        <v>46839</v>
      </c>
      <c r="O30" s="7">
        <f>(O15+P15)/2</f>
        <v>40505</v>
      </c>
      <c r="P30" s="20">
        <f>(P15+36114)/2</f>
        <v>36241.5</v>
      </c>
    </row>
    <row r="31" spans="1:16" ht="11.25">
      <c r="A31" s="6" t="s">
        <v>22</v>
      </c>
      <c r="B31" s="6"/>
      <c r="C31" s="6">
        <f aca="true" t="shared" si="8" ref="C31:J31">(C25+G25)/2</f>
        <v>113843</v>
      </c>
      <c r="D31" s="6">
        <f t="shared" si="8"/>
        <v>109949.5</v>
      </c>
      <c r="E31" s="6">
        <f t="shared" si="8"/>
        <v>110183</v>
      </c>
      <c r="F31" s="22">
        <f t="shared" si="8"/>
        <v>108084.5</v>
      </c>
      <c r="G31" s="6">
        <f t="shared" si="8"/>
        <v>106317.5</v>
      </c>
      <c r="H31" s="6">
        <f t="shared" si="8"/>
        <v>104198</v>
      </c>
      <c r="I31" s="6">
        <f t="shared" si="8"/>
        <v>101772.5</v>
      </c>
      <c r="J31" s="6">
        <f t="shared" si="8"/>
        <v>100065</v>
      </c>
      <c r="K31" s="23">
        <v>99274</v>
      </c>
      <c r="L31" s="6">
        <v>98524</v>
      </c>
      <c r="M31" s="6">
        <v>97665</v>
      </c>
      <c r="N31" s="22">
        <v>96730</v>
      </c>
      <c r="O31" s="6">
        <f>(O25+P25)/2</f>
        <v>95807</v>
      </c>
      <c r="P31" s="22">
        <f>(P25+90678)/2</f>
        <v>93163.5</v>
      </c>
    </row>
    <row r="32" spans="1:16" ht="11.25">
      <c r="A32" s="16" t="s">
        <v>25</v>
      </c>
      <c r="E32" s="7"/>
      <c r="F32" s="20"/>
      <c r="K32" s="21"/>
      <c r="L32" s="7"/>
      <c r="M32" s="7"/>
      <c r="N32" s="20"/>
      <c r="O32" s="7"/>
      <c r="P32" s="20"/>
    </row>
    <row r="33" spans="1:16" ht="11.25">
      <c r="A33" s="5" t="s">
        <v>26</v>
      </c>
      <c r="C33" s="5">
        <v>71889</v>
      </c>
      <c r="D33" s="5">
        <v>53864</v>
      </c>
      <c r="E33" s="7">
        <v>35005</v>
      </c>
      <c r="F33" s="20">
        <v>16915</v>
      </c>
      <c r="G33" s="5">
        <v>68117</v>
      </c>
      <c r="H33" s="5">
        <v>50770</v>
      </c>
      <c r="I33" s="5">
        <v>33227</v>
      </c>
      <c r="J33" s="5">
        <v>15850</v>
      </c>
      <c r="K33" s="21">
        <v>60042</v>
      </c>
      <c r="L33" s="7">
        <v>43887</v>
      </c>
      <c r="M33" s="7">
        <v>28136</v>
      </c>
      <c r="N33" s="20">
        <v>13669</v>
      </c>
      <c r="O33" s="7">
        <v>52923</v>
      </c>
      <c r="P33" s="20">
        <v>54126</v>
      </c>
    </row>
    <row r="34" spans="1:16" ht="11.25">
      <c r="A34" s="5" t="s">
        <v>27</v>
      </c>
      <c r="C34" s="5">
        <v>40858</v>
      </c>
      <c r="D34" s="5">
        <v>30883</v>
      </c>
      <c r="E34" s="7">
        <v>20592</v>
      </c>
      <c r="F34" s="20">
        <v>10142</v>
      </c>
      <c r="G34" s="5">
        <v>43551</v>
      </c>
      <c r="H34" s="5">
        <v>32596</v>
      </c>
      <c r="I34" s="5">
        <v>21400</v>
      </c>
      <c r="J34" s="5">
        <v>10264</v>
      </c>
      <c r="K34" s="21">
        <v>37836</v>
      </c>
      <c r="L34" s="7">
        <v>27731</v>
      </c>
      <c r="M34" s="7">
        <v>17968</v>
      </c>
      <c r="N34" s="20">
        <v>8787</v>
      </c>
      <c r="O34" s="7">
        <v>32449</v>
      </c>
      <c r="P34" s="20">
        <v>31433</v>
      </c>
    </row>
    <row r="35" spans="1:16" ht="11.25">
      <c r="A35" s="5" t="s">
        <v>28</v>
      </c>
      <c r="C35" s="7">
        <f>+C33-C34</f>
        <v>31031</v>
      </c>
      <c r="D35" s="7">
        <f>+D33-D34</f>
        <v>22981</v>
      </c>
      <c r="E35" s="7">
        <f>+E33-E34</f>
        <v>14413</v>
      </c>
      <c r="F35" s="20">
        <f>+F33-F34</f>
        <v>6773</v>
      </c>
      <c r="G35" s="5">
        <f aca="true" t="shared" si="9" ref="G35:P35">G33-G34</f>
        <v>24566</v>
      </c>
      <c r="H35" s="5">
        <f t="shared" si="9"/>
        <v>18174</v>
      </c>
      <c r="I35" s="5">
        <f t="shared" si="9"/>
        <v>11827</v>
      </c>
      <c r="J35" s="5">
        <f t="shared" si="9"/>
        <v>5586</v>
      </c>
      <c r="K35" s="21">
        <f t="shared" si="9"/>
        <v>22206</v>
      </c>
      <c r="L35" s="7">
        <f t="shared" si="9"/>
        <v>16156</v>
      </c>
      <c r="M35" s="7">
        <f t="shared" si="9"/>
        <v>10168</v>
      </c>
      <c r="N35" s="20">
        <f t="shared" si="9"/>
        <v>4882</v>
      </c>
      <c r="O35" s="7">
        <f t="shared" si="9"/>
        <v>20474</v>
      </c>
      <c r="P35" s="20">
        <f t="shared" si="9"/>
        <v>22693</v>
      </c>
    </row>
    <row r="36" spans="1:16" ht="11.25">
      <c r="A36" s="5" t="s">
        <v>29</v>
      </c>
      <c r="C36" s="5">
        <v>14296</v>
      </c>
      <c r="D36" s="5">
        <v>8151</v>
      </c>
      <c r="E36" s="7">
        <v>4452</v>
      </c>
      <c r="F36" s="20">
        <v>2164</v>
      </c>
      <c r="G36" s="5">
        <v>11706</v>
      </c>
      <c r="H36" s="5">
        <v>7190</v>
      </c>
      <c r="I36" s="5">
        <v>4803</v>
      </c>
      <c r="J36" s="5">
        <v>1739</v>
      </c>
      <c r="K36" s="21">
        <v>12288</v>
      </c>
      <c r="L36" s="7">
        <v>5936</v>
      </c>
      <c r="M36" s="7">
        <v>2730</v>
      </c>
      <c r="N36" s="20">
        <v>1398</v>
      </c>
      <c r="O36" s="7">
        <v>5003</v>
      </c>
      <c r="P36" s="20">
        <v>4341</v>
      </c>
    </row>
    <row r="37" spans="1:16" ht="11.25">
      <c r="A37" s="5" t="s">
        <v>30</v>
      </c>
      <c r="C37" s="7">
        <f>+C36+C35</f>
        <v>45327</v>
      </c>
      <c r="D37" s="7">
        <f>+D36+D35</f>
        <v>31132</v>
      </c>
      <c r="E37" s="7">
        <f>+E36+E35</f>
        <v>18865</v>
      </c>
      <c r="F37" s="20">
        <f>+F36+F35</f>
        <v>8937</v>
      </c>
      <c r="G37" s="5">
        <f aca="true" t="shared" si="10" ref="G37:P37">G35+G36</f>
        <v>36272</v>
      </c>
      <c r="H37" s="5">
        <f t="shared" si="10"/>
        <v>25364</v>
      </c>
      <c r="I37" s="5">
        <f t="shared" si="10"/>
        <v>16630</v>
      </c>
      <c r="J37" s="5">
        <f t="shared" si="10"/>
        <v>7325</v>
      </c>
      <c r="K37" s="21">
        <f t="shared" si="10"/>
        <v>34494</v>
      </c>
      <c r="L37" s="7">
        <f t="shared" si="10"/>
        <v>22092</v>
      </c>
      <c r="M37" s="7">
        <f t="shared" si="10"/>
        <v>12898</v>
      </c>
      <c r="N37" s="20">
        <f t="shared" si="10"/>
        <v>6280</v>
      </c>
      <c r="O37" s="7">
        <f t="shared" si="10"/>
        <v>25477</v>
      </c>
      <c r="P37" s="20">
        <f t="shared" si="10"/>
        <v>27034</v>
      </c>
    </row>
    <row r="38" spans="1:16" ht="11.25">
      <c r="A38" s="5" t="s">
        <v>31</v>
      </c>
      <c r="C38" s="5">
        <v>27767</v>
      </c>
      <c r="D38" s="5">
        <v>20238</v>
      </c>
      <c r="E38" s="7">
        <v>12958</v>
      </c>
      <c r="F38" s="20">
        <v>6236</v>
      </c>
      <c r="G38" s="5">
        <v>25777</v>
      </c>
      <c r="H38" s="5">
        <v>19014</v>
      </c>
      <c r="I38" s="5">
        <v>12621</v>
      </c>
      <c r="J38" s="5">
        <v>6156</v>
      </c>
      <c r="K38" s="21">
        <v>23568</v>
      </c>
      <c r="L38" s="7">
        <v>17288</v>
      </c>
      <c r="M38" s="7">
        <v>11065</v>
      </c>
      <c r="N38" s="20">
        <v>5350</v>
      </c>
      <c r="O38" s="7">
        <v>21672</v>
      </c>
      <c r="P38" s="20">
        <v>21218</v>
      </c>
    </row>
    <row r="39" spans="1:16" ht="11.25">
      <c r="A39" s="5" t="s">
        <v>32</v>
      </c>
      <c r="C39" s="7">
        <f>+C37-C38</f>
        <v>17560</v>
      </c>
      <c r="D39" s="7">
        <f>+D37-D38</f>
        <v>10894</v>
      </c>
      <c r="E39" s="7">
        <f>+E37-E38</f>
        <v>5907</v>
      </c>
      <c r="F39" s="20">
        <f>+F37-F38</f>
        <v>2701</v>
      </c>
      <c r="G39" s="5">
        <f aca="true" t="shared" si="11" ref="G39:P39">G37-G38</f>
        <v>10495</v>
      </c>
      <c r="H39" s="5">
        <f t="shared" si="11"/>
        <v>6350</v>
      </c>
      <c r="I39" s="5">
        <f t="shared" si="11"/>
        <v>4009</v>
      </c>
      <c r="J39" s="5">
        <f t="shared" si="11"/>
        <v>1169</v>
      </c>
      <c r="K39" s="21">
        <f t="shared" si="11"/>
        <v>10926</v>
      </c>
      <c r="L39" s="7">
        <f t="shared" si="11"/>
        <v>4804</v>
      </c>
      <c r="M39" s="7">
        <f t="shared" si="11"/>
        <v>1833</v>
      </c>
      <c r="N39" s="20">
        <f t="shared" si="11"/>
        <v>930</v>
      </c>
      <c r="O39" s="7">
        <f t="shared" si="11"/>
        <v>3805</v>
      </c>
      <c r="P39" s="20">
        <f t="shared" si="11"/>
        <v>5816</v>
      </c>
    </row>
    <row r="40" spans="1:16" ht="11.25">
      <c r="A40" s="6" t="s">
        <v>33</v>
      </c>
      <c r="B40" s="6"/>
      <c r="C40" s="6">
        <v>7388</v>
      </c>
      <c r="D40" s="6">
        <v>4198</v>
      </c>
      <c r="E40" s="6">
        <v>4343</v>
      </c>
      <c r="F40" s="22">
        <v>2701</v>
      </c>
      <c r="G40" s="6">
        <v>7468</v>
      </c>
      <c r="H40" s="6">
        <v>5431</v>
      </c>
      <c r="I40" s="6">
        <v>3387</v>
      </c>
      <c r="J40" s="6">
        <v>832</v>
      </c>
      <c r="K40" s="23">
        <v>6615</v>
      </c>
      <c r="L40" s="6">
        <v>4412</v>
      </c>
      <c r="M40" s="6">
        <v>1605</v>
      </c>
      <c r="N40" s="22">
        <v>748</v>
      </c>
      <c r="O40" s="6">
        <v>2869</v>
      </c>
      <c r="P40" s="22">
        <v>4992</v>
      </c>
    </row>
    <row r="41" spans="1:16" ht="11.25">
      <c r="A41" s="16" t="s">
        <v>34</v>
      </c>
      <c r="E41" s="7"/>
      <c r="F41" s="20"/>
      <c r="K41" s="21"/>
      <c r="L41" s="7"/>
      <c r="M41" s="7"/>
      <c r="N41" s="20"/>
      <c r="O41" s="7"/>
      <c r="P41" s="20"/>
    </row>
    <row r="42" spans="1:19" s="3" customFormat="1" ht="11.25">
      <c r="A42" s="24" t="s">
        <v>35</v>
      </c>
      <c r="B42" s="24"/>
      <c r="C42" s="5">
        <v>102264</v>
      </c>
      <c r="D42" s="24">
        <v>97112</v>
      </c>
      <c r="E42" s="25">
        <v>94313</v>
      </c>
      <c r="F42" s="26">
        <v>87248</v>
      </c>
      <c r="G42" s="24">
        <v>68407</v>
      </c>
      <c r="H42" s="24">
        <v>62892</v>
      </c>
      <c r="I42" s="24">
        <v>64177</v>
      </c>
      <c r="J42" s="24">
        <v>70344</v>
      </c>
      <c r="K42" s="27">
        <v>62227</v>
      </c>
      <c r="L42" s="25">
        <v>54190</v>
      </c>
      <c r="M42" s="25">
        <v>54297</v>
      </c>
      <c r="N42" s="26">
        <v>56012</v>
      </c>
      <c r="O42" s="25">
        <v>4472</v>
      </c>
      <c r="P42" s="26">
        <v>4225</v>
      </c>
      <c r="Q42" s="24"/>
      <c r="R42" s="24"/>
      <c r="S42" s="24"/>
    </row>
    <row r="43" spans="1:16" ht="11.25">
      <c r="A43" s="5" t="s">
        <v>36</v>
      </c>
      <c r="C43" s="5">
        <v>21373</v>
      </c>
      <c r="D43" s="5">
        <v>24500</v>
      </c>
      <c r="E43" s="7">
        <v>23522</v>
      </c>
      <c r="F43" s="20">
        <v>23719</v>
      </c>
      <c r="G43" s="5">
        <v>24725</v>
      </c>
      <c r="H43" s="5">
        <v>24374</v>
      </c>
      <c r="I43" s="5">
        <v>25085</v>
      </c>
      <c r="J43" s="5">
        <v>25041</v>
      </c>
      <c r="K43" s="21">
        <v>24936</v>
      </c>
      <c r="L43" s="7">
        <v>27628</v>
      </c>
      <c r="M43" s="7">
        <v>32208</v>
      </c>
      <c r="N43" s="20">
        <v>32089</v>
      </c>
      <c r="O43" s="7">
        <v>31845</v>
      </c>
      <c r="P43" s="20">
        <v>31433</v>
      </c>
    </row>
    <row r="44" spans="1:16" ht="11.25">
      <c r="A44" s="5" t="s">
        <v>37</v>
      </c>
      <c r="C44" s="28">
        <f aca="true" t="shared" si="12" ref="C44:P44">C42/C12</f>
        <v>0.1969584912637515</v>
      </c>
      <c r="D44" s="28">
        <f t="shared" si="12"/>
        <v>0.18511486759536716</v>
      </c>
      <c r="E44" s="28">
        <f t="shared" si="12"/>
        <v>0.1822702368413424</v>
      </c>
      <c r="F44" s="29">
        <f t="shared" si="12"/>
        <v>0.171063776390501</v>
      </c>
      <c r="G44" s="30">
        <f t="shared" si="12"/>
        <v>0.13675082112064227</v>
      </c>
      <c r="H44" s="30">
        <f t="shared" si="12"/>
        <v>0.13144150526982376</v>
      </c>
      <c r="I44" s="30">
        <f t="shared" si="12"/>
        <v>0.13567129566013364</v>
      </c>
      <c r="J44" s="30">
        <f t="shared" si="12"/>
        <v>0.15395726911005764</v>
      </c>
      <c r="K44" s="31">
        <f t="shared" si="12"/>
        <v>0.1438249148288024</v>
      </c>
      <c r="L44" s="28">
        <f t="shared" si="12"/>
        <v>0.12850123782332798</v>
      </c>
      <c r="M44" s="28">
        <f t="shared" si="12"/>
        <v>0.12923333975965554</v>
      </c>
      <c r="N44" s="29">
        <f t="shared" si="12"/>
        <v>0.13749021205776296</v>
      </c>
      <c r="O44" s="7">
        <f t="shared" si="12"/>
        <v>0.01165916242787979</v>
      </c>
      <c r="P44" s="20">
        <f t="shared" si="12"/>
        <v>0.011691132725486669</v>
      </c>
    </row>
    <row r="45" spans="1:16" ht="11.25">
      <c r="A45" s="5" t="s">
        <v>38</v>
      </c>
      <c r="C45" s="28">
        <f aca="true" t="shared" si="13" ref="C45:P45">C43/C42</f>
        <v>0.20899827896424938</v>
      </c>
      <c r="D45" s="28">
        <f t="shared" si="13"/>
        <v>0.25228602026526076</v>
      </c>
      <c r="E45" s="28">
        <f t="shared" si="13"/>
        <v>0.24940358169075313</v>
      </c>
      <c r="F45" s="29">
        <f t="shared" si="13"/>
        <v>0.2718572345497891</v>
      </c>
      <c r="G45" s="30">
        <f t="shared" si="13"/>
        <v>0.36143961875246683</v>
      </c>
      <c r="H45" s="30">
        <f t="shared" si="13"/>
        <v>0.3875532659161738</v>
      </c>
      <c r="I45" s="30">
        <f t="shared" si="13"/>
        <v>0.39087211929507454</v>
      </c>
      <c r="J45" s="30">
        <f t="shared" si="13"/>
        <v>0.3559791879904469</v>
      </c>
      <c r="K45" s="31">
        <f t="shared" si="13"/>
        <v>0.4007263727963746</v>
      </c>
      <c r="L45" s="28">
        <f t="shared" si="13"/>
        <v>0.5098357630559144</v>
      </c>
      <c r="M45" s="28">
        <f t="shared" si="13"/>
        <v>0.5931819437537985</v>
      </c>
      <c r="N45" s="29">
        <f t="shared" si="13"/>
        <v>0.5728950939084482</v>
      </c>
      <c r="O45" s="7">
        <f t="shared" si="13"/>
        <v>7.120974955277281</v>
      </c>
      <c r="P45" s="20">
        <f t="shared" si="13"/>
        <v>7.439763313609467</v>
      </c>
    </row>
    <row r="46" spans="1:16" ht="11.25">
      <c r="A46" s="6" t="s">
        <v>39</v>
      </c>
      <c r="B46" s="6"/>
      <c r="C46" s="32">
        <f aca="true" t="shared" si="14" ref="C46:P46">C43/C12</f>
        <v>0.04116398570151921</v>
      </c>
      <c r="D46" s="32">
        <f t="shared" si="14"/>
        <v>0.04670189323756586</v>
      </c>
      <c r="E46" s="32">
        <f t="shared" si="14"/>
        <v>0.045458849903852655</v>
      </c>
      <c r="F46" s="33">
        <f t="shared" si="14"/>
        <v>0.046504925181165106</v>
      </c>
      <c r="G46" s="32">
        <f t="shared" si="14"/>
        <v>0.04942716464993173</v>
      </c>
      <c r="H46" s="32">
        <f t="shared" si="14"/>
        <v>0.05094058464425816</v>
      </c>
      <c r="I46" s="32">
        <f t="shared" si="14"/>
        <v>0.05303012686218509</v>
      </c>
      <c r="J46" s="32">
        <f t="shared" si="14"/>
        <v>0.05480558364302504</v>
      </c>
      <c r="K46" s="34">
        <f t="shared" si="14"/>
        <v>0.057634436437093504</v>
      </c>
      <c r="L46" s="32">
        <f t="shared" si="14"/>
        <v>0.06551452663928595</v>
      </c>
      <c r="M46" s="32">
        <f t="shared" si="14"/>
        <v>0.07665888367642754</v>
      </c>
      <c r="N46" s="33">
        <f t="shared" si="14"/>
        <v>0.07876746794832458</v>
      </c>
      <c r="O46" s="6">
        <f t="shared" si="14"/>
        <v>0.08302460364844184</v>
      </c>
      <c r="P46" s="22">
        <f t="shared" si="14"/>
        <v>0.08697926034561479</v>
      </c>
    </row>
    <row r="47" spans="1:20" ht="11.25">
      <c r="A47" s="16" t="s">
        <v>40</v>
      </c>
      <c r="C47" s="30"/>
      <c r="D47" s="30"/>
      <c r="E47" s="28"/>
      <c r="F47" s="29"/>
      <c r="G47" s="30"/>
      <c r="H47" s="30"/>
      <c r="I47" s="30"/>
      <c r="J47" s="30"/>
      <c r="K47" s="31"/>
      <c r="L47" s="28"/>
      <c r="M47" s="28"/>
      <c r="N47" s="29"/>
      <c r="O47" s="28"/>
      <c r="P47" s="29"/>
      <c r="Q47" s="30"/>
      <c r="R47" s="30"/>
      <c r="S47" s="30"/>
      <c r="T47" s="4"/>
    </row>
    <row r="48" spans="1:20" ht="11.25">
      <c r="A48" s="5" t="s">
        <v>41</v>
      </c>
      <c r="C48" s="28">
        <f aca="true" t="shared" si="15" ref="C48:P48">C25/(C12+C15)</f>
        <v>0.1800904478608193</v>
      </c>
      <c r="D48" s="28">
        <f t="shared" si="15"/>
        <v>0.1722850825054049</v>
      </c>
      <c r="E48" s="28">
        <f t="shared" si="15"/>
        <v>0.1793806705743255</v>
      </c>
      <c r="F48" s="29">
        <f t="shared" si="15"/>
        <v>0.1791837701169153</v>
      </c>
      <c r="G48" s="30">
        <f t="shared" si="15"/>
        <v>0.178279604730277</v>
      </c>
      <c r="H48" s="30">
        <f t="shared" si="15"/>
        <v>0.18354352945974328</v>
      </c>
      <c r="I48" s="30">
        <f t="shared" si="15"/>
        <v>0.18249151871049957</v>
      </c>
      <c r="J48" s="30">
        <f t="shared" si="15"/>
        <v>0.19173302433371958</v>
      </c>
      <c r="K48" s="31">
        <f t="shared" si="15"/>
        <v>0.2041952557541448</v>
      </c>
      <c r="L48" s="28">
        <f t="shared" si="15"/>
        <v>0.2078208427446653</v>
      </c>
      <c r="M48" s="28">
        <f t="shared" si="15"/>
        <v>0.2024739110495965</v>
      </c>
      <c r="N48" s="29">
        <f t="shared" si="15"/>
        <v>0.214345078866241</v>
      </c>
      <c r="O48" s="28">
        <f t="shared" si="15"/>
        <v>0.22411151746138505</v>
      </c>
      <c r="P48" s="29">
        <f t="shared" si="15"/>
        <v>0.24047275451661076</v>
      </c>
      <c r="Q48" s="30"/>
      <c r="R48" s="30"/>
      <c r="S48" s="30"/>
      <c r="T48" s="4"/>
    </row>
    <row r="49" spans="1:20" ht="11.25">
      <c r="A49" s="6" t="s">
        <v>42</v>
      </c>
      <c r="B49" s="6"/>
      <c r="C49" s="32">
        <f aca="true" t="shared" si="16" ref="C49:P49">C25/C12</f>
        <v>0.22656081476687928</v>
      </c>
      <c r="D49" s="32">
        <f t="shared" si="16"/>
        <v>0.21327324991803343</v>
      </c>
      <c r="E49" s="32">
        <f t="shared" si="16"/>
        <v>0.2210809087131717</v>
      </c>
      <c r="F49" s="33">
        <f t="shared" si="16"/>
        <v>0.22107044263889325</v>
      </c>
      <c r="G49" s="32">
        <f t="shared" si="16"/>
        <v>0.2200023589101835</v>
      </c>
      <c r="H49" s="32">
        <f t="shared" si="16"/>
        <v>0.22574658448960142</v>
      </c>
      <c r="I49" s="32">
        <f t="shared" si="16"/>
        <v>0.22402453951415652</v>
      </c>
      <c r="J49" s="32">
        <f t="shared" si="16"/>
        <v>0.2263397722945201</v>
      </c>
      <c r="K49" s="34">
        <f t="shared" si="16"/>
        <v>0.23709951046785221</v>
      </c>
      <c r="L49" s="32">
        <f t="shared" si="16"/>
        <v>0.23803437449609682</v>
      </c>
      <c r="M49" s="32">
        <f t="shared" si="16"/>
        <v>0.2322377644015071</v>
      </c>
      <c r="N49" s="33">
        <f t="shared" si="16"/>
        <v>0.23739963523806484</v>
      </c>
      <c r="O49" s="32">
        <f t="shared" si="16"/>
        <v>0.2501948842556986</v>
      </c>
      <c r="P49" s="33">
        <f t="shared" si="16"/>
        <v>0.26467340924498806</v>
      </c>
      <c r="Q49" s="30"/>
      <c r="R49" s="30"/>
      <c r="S49" s="30"/>
      <c r="T49" s="4"/>
    </row>
    <row r="50" spans="1:20" ht="11.25">
      <c r="A50" s="16" t="s">
        <v>43</v>
      </c>
      <c r="C50" s="30"/>
      <c r="D50" s="28"/>
      <c r="E50" s="28"/>
      <c r="F50" s="29"/>
      <c r="G50" s="30"/>
      <c r="H50" s="30"/>
      <c r="I50" s="30"/>
      <c r="J50" s="30"/>
      <c r="K50" s="31"/>
      <c r="L50" s="28"/>
      <c r="M50" s="28"/>
      <c r="N50" s="29"/>
      <c r="O50" s="28"/>
      <c r="P50" s="29"/>
      <c r="Q50" s="30"/>
      <c r="R50" s="30"/>
      <c r="S50" s="30"/>
      <c r="T50" s="4"/>
    </row>
    <row r="51" spans="1:20" ht="11.25">
      <c r="A51" s="5" t="s">
        <v>44</v>
      </c>
      <c r="C51" s="28">
        <f aca="true" t="shared" si="17" ref="C51:P51">C11/C16</f>
        <v>0.29801715584290883</v>
      </c>
      <c r="D51" s="28">
        <f t="shared" si="17"/>
        <v>0.3228796959555063</v>
      </c>
      <c r="E51" s="28">
        <f t="shared" si="17"/>
        <v>0.34088621159966226</v>
      </c>
      <c r="F51" s="29">
        <f t="shared" si="17"/>
        <v>0.3440993788819876</v>
      </c>
      <c r="G51" s="30">
        <f t="shared" si="17"/>
        <v>0.3546104482346339</v>
      </c>
      <c r="H51" s="30">
        <f t="shared" si="17"/>
        <v>0.40946828358208953</v>
      </c>
      <c r="I51" s="30">
        <f t="shared" si="17"/>
        <v>0.3928985597053903</v>
      </c>
      <c r="J51" s="30">
        <f t="shared" si="17"/>
        <v>0.4225025252476294</v>
      </c>
      <c r="K51" s="31">
        <f t="shared" si="17"/>
        <v>0.480221703243286</v>
      </c>
      <c r="L51" s="28">
        <f t="shared" si="17"/>
        <v>0.5042923239868443</v>
      </c>
      <c r="M51" s="28">
        <f t="shared" si="17"/>
        <v>0.43612494869316154</v>
      </c>
      <c r="N51" s="29">
        <f t="shared" si="17"/>
        <v>0.47093916699049704</v>
      </c>
      <c r="O51" s="28">
        <f t="shared" si="17"/>
        <v>0.4743691390764688</v>
      </c>
      <c r="P51" s="29">
        <f t="shared" si="17"/>
        <v>0.5201377522293077</v>
      </c>
      <c r="Q51" s="30"/>
      <c r="R51" s="30"/>
      <c r="S51" s="30"/>
      <c r="T51" s="4"/>
    </row>
    <row r="52" spans="1:20" ht="11.25">
      <c r="A52" s="5" t="s">
        <v>45</v>
      </c>
      <c r="C52" s="28">
        <f aca="true" t="shared" si="18" ref="C52:P52">C11/C10</f>
        <v>0.19412149181009725</v>
      </c>
      <c r="D52" s="28">
        <f t="shared" si="18"/>
        <v>0.21227497609445808</v>
      </c>
      <c r="E52" s="28">
        <f t="shared" si="18"/>
        <v>0.2229996208013307</v>
      </c>
      <c r="F52" s="29">
        <f t="shared" si="18"/>
        <v>0.2227379215354045</v>
      </c>
      <c r="G52" s="30">
        <f t="shared" si="18"/>
        <v>0.22723714027561698</v>
      </c>
      <c r="H52" s="30">
        <f t="shared" si="18"/>
        <v>0.2659007845785554</v>
      </c>
      <c r="I52" s="30">
        <f t="shared" si="18"/>
        <v>0.25113279375684655</v>
      </c>
      <c r="J52" s="30">
        <f t="shared" si="18"/>
        <v>0.26193644234340463</v>
      </c>
      <c r="K52" s="31">
        <f t="shared" si="18"/>
        <v>0.2799925252273577</v>
      </c>
      <c r="L52" s="28">
        <f t="shared" si="18"/>
        <v>0.299694965011442</v>
      </c>
      <c r="M52" s="28">
        <f t="shared" si="18"/>
        <v>0.261409131607321</v>
      </c>
      <c r="N52" s="29">
        <f t="shared" si="18"/>
        <v>0.2926489938107044</v>
      </c>
      <c r="O52" s="28">
        <f t="shared" si="18"/>
        <v>0.27970473323700185</v>
      </c>
      <c r="P52" s="29">
        <f t="shared" si="18"/>
        <v>0.3032438721261516</v>
      </c>
      <c r="Q52" s="30"/>
      <c r="R52" s="30"/>
      <c r="S52" s="30"/>
      <c r="T52" s="4"/>
    </row>
    <row r="53" spans="1:20" ht="11.25">
      <c r="A53" s="6" t="s">
        <v>46</v>
      </c>
      <c r="B53" s="6"/>
      <c r="C53" s="32">
        <f aca="true" t="shared" si="19" ref="C53:P53">(C11+C15)/C16</f>
        <v>0.5124299843164869</v>
      </c>
      <c r="D53" s="32">
        <f t="shared" si="19"/>
        <v>0.5201924308224473</v>
      </c>
      <c r="E53" s="32">
        <f t="shared" si="19"/>
        <v>0.536195362733</v>
      </c>
      <c r="F53" s="33">
        <f t="shared" si="19"/>
        <v>0.5475445362091325</v>
      </c>
      <c r="G53" s="32">
        <f t="shared" si="19"/>
        <v>0.5586480108477034</v>
      </c>
      <c r="H53" s="32">
        <f t="shared" si="19"/>
        <v>0.5995232172470979</v>
      </c>
      <c r="I53" s="32">
        <f t="shared" si="19"/>
        <v>0.5835043332772678</v>
      </c>
      <c r="J53" s="32">
        <f t="shared" si="19"/>
        <v>0.5823909296594939</v>
      </c>
      <c r="K53" s="34">
        <f t="shared" si="19"/>
        <v>0.6291897874631688</v>
      </c>
      <c r="L53" s="32">
        <f t="shared" si="19"/>
        <v>0.6357399220435064</v>
      </c>
      <c r="M53" s="32">
        <f t="shared" si="19"/>
        <v>0.574652291032574</v>
      </c>
      <c r="N53" s="33">
        <f t="shared" si="19"/>
        <v>0.5676864379835377</v>
      </c>
      <c r="O53" s="32">
        <f t="shared" si="19"/>
        <v>0.5853206311964548</v>
      </c>
      <c r="P53" s="33">
        <f t="shared" si="19"/>
        <v>0.6153832052272519</v>
      </c>
      <c r="Q53" s="30"/>
      <c r="R53" s="30"/>
      <c r="S53" s="30"/>
      <c r="T53" s="4"/>
    </row>
    <row r="54" spans="1:20" ht="11.25">
      <c r="A54" s="16" t="s">
        <v>47</v>
      </c>
      <c r="C54" s="30"/>
      <c r="D54" s="28"/>
      <c r="E54" s="28"/>
      <c r="F54" s="29"/>
      <c r="G54" s="30"/>
      <c r="H54" s="30"/>
      <c r="I54" s="30"/>
      <c r="J54" s="30"/>
      <c r="K54" s="31"/>
      <c r="L54" s="28"/>
      <c r="M54" s="28"/>
      <c r="N54" s="29"/>
      <c r="O54" s="28"/>
      <c r="P54" s="29"/>
      <c r="Q54" s="30"/>
      <c r="R54" s="30"/>
      <c r="S54" s="30"/>
      <c r="T54" s="4"/>
    </row>
    <row r="55" spans="1:20" ht="11.25">
      <c r="A55" s="5" t="s">
        <v>48</v>
      </c>
      <c r="B55" s="7"/>
      <c r="C55" s="28">
        <f>(C40)/C28</f>
        <v>0.011630121826628068</v>
      </c>
      <c r="D55" s="28">
        <f>((D40)/0.75)/D28</f>
        <v>0.009043199155565966</v>
      </c>
      <c r="E55" s="28">
        <f>((E40)/0.5)/E28</f>
        <v>0.014257902909689006</v>
      </c>
      <c r="F55" s="29">
        <f>((F40)/0.25)/F28</f>
        <v>0.018489963495842154</v>
      </c>
      <c r="G55" s="28">
        <f>(G40)/G28</f>
        <v>0.01333956131991637</v>
      </c>
      <c r="H55" s="30">
        <f>((H40)/0.75)/H28</f>
        <v>0.013516065259624612</v>
      </c>
      <c r="I55" s="30">
        <f>((I40)/0.5)/I28</f>
        <v>0.012749870835564498</v>
      </c>
      <c r="J55" s="30">
        <f>((J40)/0.25)/J28</f>
        <v>0.006719282199757314</v>
      </c>
      <c r="K55" s="31">
        <f>(K40)/K28</f>
        <v>0.014217001083200082</v>
      </c>
      <c r="L55" s="28">
        <f>((L40)/0.75)/L28</f>
        <v>0.013079219397087118</v>
      </c>
      <c r="M55" s="28">
        <f>((M40)/0.5)/M28</f>
        <v>0.0071728958388265944</v>
      </c>
      <c r="N55" s="29">
        <f>((N40)/0.25)/N28</f>
        <v>0.006945637387586066</v>
      </c>
      <c r="O55" s="28">
        <f>O40/O28</f>
        <v>0.006947101298374248</v>
      </c>
      <c r="P55" s="29">
        <f>P40/P28</f>
        <v>0.012626802360948984</v>
      </c>
      <c r="Q55" s="30"/>
      <c r="R55" s="30"/>
      <c r="S55" s="30"/>
      <c r="T55" s="4"/>
    </row>
    <row r="56" spans="1:20" ht="11.25">
      <c r="A56" s="5" t="s">
        <v>49</v>
      </c>
      <c r="B56" s="7"/>
      <c r="C56" s="28">
        <f>(C40)/C27</f>
        <v>0.007966941720980189</v>
      </c>
      <c r="D56" s="28">
        <f>((D40)/0.75)/D27</f>
        <v>0.0060395686700612265</v>
      </c>
      <c r="E56" s="28">
        <f>((E40)/0.5)/E27</f>
        <v>0.00951830432602877</v>
      </c>
      <c r="F56" s="29">
        <f>((F40)/0.25)/F27</f>
        <v>0.012437547486933898</v>
      </c>
      <c r="G56" s="28">
        <f>(G40)/G27</f>
        <v>0.008795852710690295</v>
      </c>
      <c r="H56" s="30">
        <f>((H40)/0.75)/H27</f>
        <v>0.008639858606033345</v>
      </c>
      <c r="I56" s="30">
        <f>((I40)/0.5)/I27</f>
        <v>0.008324475111982255</v>
      </c>
      <c r="J56" s="30">
        <f>((J40)/0.25)/J27</f>
        <v>0.004264457896166601</v>
      </c>
      <c r="K56" s="31">
        <f>(K40)/K27</f>
        <v>0.008908694967092371</v>
      </c>
      <c r="L56" s="28">
        <f>((L40)/0.75)/L27</f>
        <v>0.008015984731111587</v>
      </c>
      <c r="M56" s="28">
        <f>((M40)/0.5)/M27</f>
        <v>0.0045158540239635695</v>
      </c>
      <c r="N56" s="29">
        <f>((N40)/0.25)/N27</f>
        <v>0.004277530526728132</v>
      </c>
      <c r="O56" s="28">
        <f>O40/O27</f>
        <v>0.004290658060425148</v>
      </c>
      <c r="P56" s="29">
        <f>P40/P27</f>
        <v>0.007599775599574644</v>
      </c>
      <c r="Q56" s="30"/>
      <c r="R56" s="30"/>
      <c r="S56" s="30"/>
      <c r="T56" s="4"/>
    </row>
    <row r="57" spans="1:20" ht="11.25">
      <c r="A57" s="5" t="s">
        <v>50</v>
      </c>
      <c r="B57" s="7"/>
      <c r="C57" s="28">
        <f>(C40)/C31</f>
        <v>0.06489639240005973</v>
      </c>
      <c r="D57" s="28">
        <f>((D40)/0.75)/D31</f>
        <v>0.05090821998584198</v>
      </c>
      <c r="E57" s="28">
        <f>((E40)/0.5)/E31</f>
        <v>0.0788324877703457</v>
      </c>
      <c r="F57" s="29">
        <f>((F40)/0.25)/F31</f>
        <v>0.09995882850917569</v>
      </c>
      <c r="G57" s="28">
        <f>(G40)/G31</f>
        <v>0.07024243421826135</v>
      </c>
      <c r="H57" s="30">
        <f>((H40)/0.75)/H31</f>
        <v>0.06949589563459312</v>
      </c>
      <c r="I57" s="30">
        <f>((I40)/0.5)/I31</f>
        <v>0.06656022009874966</v>
      </c>
      <c r="J57" s="30">
        <f>((J40)/0.25)/J31</f>
        <v>0.03325838205166642</v>
      </c>
      <c r="K57" s="31">
        <f>(K40)/K31</f>
        <v>0.06663376110562685</v>
      </c>
      <c r="L57" s="28">
        <f>((L40)/0.75)/L31</f>
        <v>0.059707956098683235</v>
      </c>
      <c r="M57" s="28">
        <f>((M40)/0.5)/M31</f>
        <v>0.03286745507602519</v>
      </c>
      <c r="N57" s="29">
        <f>((N40)/0.25)/N31</f>
        <v>0.03093145869947276</v>
      </c>
      <c r="O57" s="28">
        <f>O40/O31</f>
        <v>0.029945619839886438</v>
      </c>
      <c r="P57" s="29">
        <f>P40/P31</f>
        <v>0.0535832166030688</v>
      </c>
      <c r="Q57" s="30"/>
      <c r="R57" s="30"/>
      <c r="S57" s="30"/>
      <c r="T57" s="4"/>
    </row>
    <row r="58" spans="1:20" ht="11.25">
      <c r="A58" s="5" t="s">
        <v>51</v>
      </c>
      <c r="B58" s="7"/>
      <c r="C58" s="28">
        <f aca="true" t="shared" si="20" ref="C58:P58">(C33)/C28</f>
        <v>0.11316700433059897</v>
      </c>
      <c r="D58" s="28">
        <f t="shared" si="20"/>
        <v>0.08702409706683038</v>
      </c>
      <c r="E58" s="28">
        <f t="shared" si="20"/>
        <v>0.05746003814801561</v>
      </c>
      <c r="F58" s="29">
        <f t="shared" si="20"/>
        <v>0.02894832770568031</v>
      </c>
      <c r="G58" s="28">
        <f t="shared" si="20"/>
        <v>0.12167258950572353</v>
      </c>
      <c r="H58" s="28">
        <f t="shared" si="20"/>
        <v>0.09476302244952241</v>
      </c>
      <c r="I58" s="28">
        <f t="shared" si="20"/>
        <v>0.06253911400255412</v>
      </c>
      <c r="J58" s="29">
        <f t="shared" si="20"/>
        <v>0.03200138908237783</v>
      </c>
      <c r="K58" s="31">
        <f t="shared" si="20"/>
        <v>0.12904265745086915</v>
      </c>
      <c r="L58" s="28">
        <f t="shared" si="20"/>
        <v>0.09757610522664817</v>
      </c>
      <c r="M58" s="28">
        <f t="shared" si="20"/>
        <v>0.0628712141187617</v>
      </c>
      <c r="N58" s="29">
        <f t="shared" si="20"/>
        <v>0.03173125583252471</v>
      </c>
      <c r="O58" s="28">
        <f t="shared" si="20"/>
        <v>0.12814968351825037</v>
      </c>
      <c r="P58" s="35">
        <f t="shared" si="20"/>
        <v>0.13690671165639517</v>
      </c>
      <c r="Q58" s="30"/>
      <c r="R58" s="30"/>
      <c r="S58" s="30"/>
      <c r="T58" s="4"/>
    </row>
    <row r="59" spans="1:20" ht="11.25">
      <c r="A59" s="5" t="s">
        <v>52</v>
      </c>
      <c r="B59" s="7"/>
      <c r="C59" s="28">
        <f aca="true" t="shared" si="21" ref="C59:P59">(C34)/C28</f>
        <v>0.0643182887916039</v>
      </c>
      <c r="D59" s="28">
        <f t="shared" si="21"/>
        <v>0.04989538819461835</v>
      </c>
      <c r="E59" s="28">
        <f t="shared" si="21"/>
        <v>0.03380137424779139</v>
      </c>
      <c r="F59" s="29">
        <f t="shared" si="21"/>
        <v>0.017357016824771487</v>
      </c>
      <c r="G59" s="28">
        <f t="shared" si="21"/>
        <v>0.07779207753664673</v>
      </c>
      <c r="H59" s="28">
        <f t="shared" si="21"/>
        <v>0.0608409588293211</v>
      </c>
      <c r="I59" s="28">
        <f t="shared" si="21"/>
        <v>0.04027859992339537</v>
      </c>
      <c r="J59" s="29">
        <f t="shared" si="21"/>
        <v>0.020723170822809216</v>
      </c>
      <c r="K59" s="31">
        <f t="shared" si="21"/>
        <v>0.08131737762418115</v>
      </c>
      <c r="L59" s="28">
        <f t="shared" si="21"/>
        <v>0.06165568332399527</v>
      </c>
      <c r="M59" s="28">
        <f t="shared" si="21"/>
        <v>0.04015034032150662</v>
      </c>
      <c r="N59" s="29">
        <f t="shared" si="21"/>
        <v>0.020398167020293703</v>
      </c>
      <c r="O59" s="28">
        <f t="shared" si="21"/>
        <v>0.07857319276087346</v>
      </c>
      <c r="P59" s="35">
        <f t="shared" si="21"/>
        <v>0.0795068667090764</v>
      </c>
      <c r="Q59" s="30"/>
      <c r="R59" s="30"/>
      <c r="S59" s="30"/>
      <c r="T59" s="4"/>
    </row>
    <row r="60" spans="1:20" ht="11.25">
      <c r="A60" s="5" t="s">
        <v>53</v>
      </c>
      <c r="B60" s="7"/>
      <c r="C60" s="28">
        <f aca="true" t="shared" si="22" ref="C60:P60">(C35)/C28</f>
        <v>0.048848715538995065</v>
      </c>
      <c r="D60" s="28">
        <f t="shared" si="22"/>
        <v>0.037128708872212035</v>
      </c>
      <c r="E60" s="28">
        <f t="shared" si="22"/>
        <v>0.023658663900224225</v>
      </c>
      <c r="F60" s="29">
        <f t="shared" si="22"/>
        <v>0.011591310880908822</v>
      </c>
      <c r="G60" s="28">
        <f t="shared" si="22"/>
        <v>0.043880511969076795</v>
      </c>
      <c r="H60" s="28">
        <f t="shared" si="22"/>
        <v>0.0339220636202013</v>
      </c>
      <c r="I60" s="28">
        <f t="shared" si="22"/>
        <v>0.02226051407915874</v>
      </c>
      <c r="J60" s="29">
        <f t="shared" si="22"/>
        <v>0.011278218259568618</v>
      </c>
      <c r="K60" s="31">
        <f t="shared" si="22"/>
        <v>0.047725279826687984</v>
      </c>
      <c r="L60" s="28">
        <f t="shared" si="22"/>
        <v>0.0359204219026529</v>
      </c>
      <c r="M60" s="28">
        <f t="shared" si="22"/>
        <v>0.022720873797255084</v>
      </c>
      <c r="N60" s="29">
        <f t="shared" si="22"/>
        <v>0.011333088812231008</v>
      </c>
      <c r="O60" s="28">
        <f t="shared" si="22"/>
        <v>0.049576490757376905</v>
      </c>
      <c r="P60" s="35">
        <f t="shared" si="22"/>
        <v>0.057399844947318764</v>
      </c>
      <c r="Q60" s="30"/>
      <c r="R60" s="30"/>
      <c r="S60" s="30"/>
      <c r="T60" s="4"/>
    </row>
    <row r="61" spans="1:20" ht="11.25">
      <c r="A61" s="5" t="s">
        <v>54</v>
      </c>
      <c r="B61" s="7"/>
      <c r="C61" s="28">
        <f>(C38)/(C37)</f>
        <v>0.6125929357777925</v>
      </c>
      <c r="D61" s="28">
        <f>(D38/0.75)/(D37/0.75)</f>
        <v>0.6500706668379802</v>
      </c>
      <c r="E61" s="28">
        <f>(E38/0.5)/(E37/0.5)</f>
        <v>0.6868804664723032</v>
      </c>
      <c r="F61" s="29">
        <f>(F38/0.25)/(F37/0.25)</f>
        <v>0.6977733020029092</v>
      </c>
      <c r="G61" s="28">
        <f>(G38)/(G37)</f>
        <v>0.7106583590648434</v>
      </c>
      <c r="H61" s="30">
        <f>(H38/0.75)/(H37/0.75)</f>
        <v>0.7496451663775431</v>
      </c>
      <c r="I61" s="30">
        <f>(I38/0.5)/(I37/0.5)</f>
        <v>0.7589296452194828</v>
      </c>
      <c r="J61" s="30">
        <f>(J38/0.25)/(J37/0.25)</f>
        <v>0.8404095563139932</v>
      </c>
      <c r="K61" s="31">
        <f>(K38)/(K37)</f>
        <v>0.6832492607409985</v>
      </c>
      <c r="L61" s="28">
        <f>((L38)/0.75)/((L37)/0.75)</f>
        <v>0.7825457179069347</v>
      </c>
      <c r="M61" s="28">
        <f>((M38)/0.5)/((M37)/0.5)</f>
        <v>0.8578849434020779</v>
      </c>
      <c r="N61" s="29">
        <f>(N38/0.25)/(N37/0.25)</f>
        <v>0.8519108280254777</v>
      </c>
      <c r="O61" s="28">
        <f>O38/O37</f>
        <v>0.8506496055265533</v>
      </c>
      <c r="P61" s="29">
        <f>P38/P37</f>
        <v>0.7848635052156544</v>
      </c>
      <c r="Q61" s="30"/>
      <c r="R61" s="30"/>
      <c r="S61" s="30"/>
      <c r="T61" s="4"/>
    </row>
    <row r="62" spans="1:20" ht="11.25">
      <c r="A62" s="6" t="s">
        <v>55</v>
      </c>
      <c r="B62" s="6"/>
      <c r="C62" s="32">
        <f aca="true" t="shared" si="23" ref="C62:P62">(C36)/C28</f>
        <v>0.022504632056507153</v>
      </c>
      <c r="D62" s="32">
        <f t="shared" si="23"/>
        <v>0.013168970280553513</v>
      </c>
      <c r="E62" s="32">
        <f t="shared" si="23"/>
        <v>0.007307872870588931</v>
      </c>
      <c r="F62" s="33">
        <f t="shared" si="23"/>
        <v>0.0037034691785452073</v>
      </c>
      <c r="G62" s="32">
        <f t="shared" si="23"/>
        <v>0.02090960160832097</v>
      </c>
      <c r="H62" s="32">
        <f t="shared" si="23"/>
        <v>0.013420250766438173</v>
      </c>
      <c r="I62" s="32">
        <f t="shared" si="23"/>
        <v>0.009040098851965793</v>
      </c>
      <c r="J62" s="32">
        <f t="shared" si="23"/>
        <v>0.003511067231183284</v>
      </c>
      <c r="K62" s="34">
        <f t="shared" si="23"/>
        <v>0.026409449631196163</v>
      </c>
      <c r="L62" s="32">
        <f t="shared" si="23"/>
        <v>0.013197797995428796</v>
      </c>
      <c r="M62" s="32">
        <f t="shared" si="23"/>
        <v>0.006100313283488038</v>
      </c>
      <c r="N62" s="33">
        <f t="shared" si="23"/>
        <v>0.003245321212515147</v>
      </c>
      <c r="O62" s="32">
        <f t="shared" si="23"/>
        <v>0.012114446774404448</v>
      </c>
      <c r="P62" s="36">
        <f t="shared" si="23"/>
        <v>0.01098015806267619</v>
      </c>
      <c r="Q62" s="30"/>
      <c r="R62" s="30"/>
      <c r="S62" s="30"/>
      <c r="T62" s="4"/>
    </row>
    <row r="63" spans="1:16" ht="11.25">
      <c r="A63" s="16" t="s">
        <v>56</v>
      </c>
      <c r="B63" s="7"/>
      <c r="C63" s="7"/>
      <c r="D63" s="7"/>
      <c r="E63" s="7"/>
      <c r="F63" s="20"/>
      <c r="K63" s="21"/>
      <c r="L63" s="7"/>
      <c r="M63" s="7"/>
      <c r="N63" s="20"/>
      <c r="O63" s="7"/>
      <c r="P63" s="20"/>
    </row>
    <row r="64" spans="1:16" ht="11.25">
      <c r="A64" s="5" t="s">
        <v>57</v>
      </c>
      <c r="B64" s="7"/>
      <c r="C64" s="7">
        <v>1409</v>
      </c>
      <c r="D64" s="7">
        <v>1382</v>
      </c>
      <c r="E64" s="25">
        <v>1375</v>
      </c>
      <c r="F64" s="20">
        <v>1373</v>
      </c>
      <c r="G64" s="5">
        <v>1230</v>
      </c>
      <c r="H64" s="5">
        <v>1223</v>
      </c>
      <c r="I64" s="5">
        <v>1227</v>
      </c>
      <c r="J64" s="5">
        <v>1212</v>
      </c>
      <c r="K64" s="21">
        <v>1224</v>
      </c>
      <c r="L64" s="7">
        <v>1206</v>
      </c>
      <c r="M64" s="7">
        <v>1222</v>
      </c>
      <c r="N64" s="20">
        <v>1198</v>
      </c>
      <c r="O64" s="7">
        <v>1217</v>
      </c>
      <c r="P64" s="20">
        <v>1205</v>
      </c>
    </row>
    <row r="65" spans="1:16" ht="11.25">
      <c r="A65" s="5" t="s">
        <v>58</v>
      </c>
      <c r="B65" s="7"/>
      <c r="C65" s="7">
        <v>38</v>
      </c>
      <c r="D65" s="7">
        <v>38</v>
      </c>
      <c r="E65" s="7">
        <v>38</v>
      </c>
      <c r="F65" s="20">
        <v>38</v>
      </c>
      <c r="G65" s="5">
        <v>38</v>
      </c>
      <c r="H65" s="5">
        <v>38</v>
      </c>
      <c r="I65" s="5">
        <v>38</v>
      </c>
      <c r="J65" s="5">
        <v>38</v>
      </c>
      <c r="K65" s="21">
        <v>38</v>
      </c>
      <c r="L65" s="7">
        <v>38</v>
      </c>
      <c r="M65" s="7">
        <v>38</v>
      </c>
      <c r="N65" s="20">
        <v>38</v>
      </c>
      <c r="O65" s="7">
        <v>38</v>
      </c>
      <c r="P65" s="20">
        <v>36</v>
      </c>
    </row>
    <row r="66" spans="1:16" ht="11.25">
      <c r="A66" s="5" t="s">
        <v>59</v>
      </c>
      <c r="B66" s="7"/>
      <c r="C66" s="7">
        <f aca="true" t="shared" si="24" ref="C66:P66">C12/C64</f>
        <v>368.49964513839603</v>
      </c>
      <c r="D66" s="7">
        <f t="shared" si="24"/>
        <v>379.5976845151954</v>
      </c>
      <c r="E66" s="7">
        <f t="shared" si="24"/>
        <v>376.31636363636363</v>
      </c>
      <c r="F66" s="20">
        <f t="shared" si="24"/>
        <v>371.4726875455208</v>
      </c>
      <c r="G66" s="5">
        <f t="shared" si="24"/>
        <v>406.6918699186992</v>
      </c>
      <c r="H66" s="5">
        <f t="shared" si="24"/>
        <v>391.2338511856092</v>
      </c>
      <c r="I66" s="5">
        <f t="shared" si="24"/>
        <v>385.519967400163</v>
      </c>
      <c r="J66" s="5">
        <f t="shared" si="24"/>
        <v>376.98514851485146</v>
      </c>
      <c r="K66" s="21">
        <f t="shared" si="24"/>
        <v>353.4787581699346</v>
      </c>
      <c r="L66" s="7">
        <f t="shared" si="24"/>
        <v>349.6749585406302</v>
      </c>
      <c r="M66" s="7">
        <f t="shared" si="24"/>
        <v>343.8191489361702</v>
      </c>
      <c r="N66" s="20">
        <f t="shared" si="24"/>
        <v>340.0575959933222</v>
      </c>
      <c r="O66" s="7">
        <f t="shared" si="24"/>
        <v>315.1692686935086</v>
      </c>
      <c r="P66" s="20">
        <f t="shared" si="24"/>
        <v>299.9045643153527</v>
      </c>
    </row>
    <row r="67" spans="1:16" ht="11.25">
      <c r="A67" s="5" t="s">
        <v>60</v>
      </c>
      <c r="B67" s="7"/>
      <c r="C67" s="7">
        <f aca="true" t="shared" si="25" ref="C67:P67">C16/C64</f>
        <v>443.4776437189496</v>
      </c>
      <c r="D67" s="7">
        <f t="shared" si="25"/>
        <v>457.69826338639655</v>
      </c>
      <c r="E67" s="7">
        <f t="shared" si="25"/>
        <v>447.9127272727273</v>
      </c>
      <c r="F67" s="20">
        <f t="shared" si="25"/>
        <v>426.8317552804079</v>
      </c>
      <c r="G67" s="5">
        <f t="shared" si="25"/>
        <v>466.47317073170734</v>
      </c>
      <c r="H67" s="5">
        <f t="shared" si="25"/>
        <v>473.3278822567457</v>
      </c>
      <c r="I67" s="5">
        <f t="shared" si="25"/>
        <v>460.32192339038306</v>
      </c>
      <c r="J67" s="5">
        <f t="shared" si="25"/>
        <v>425.5701320132013</v>
      </c>
      <c r="K67" s="21">
        <f t="shared" si="25"/>
        <v>382.36356209150324</v>
      </c>
      <c r="L67" s="7">
        <f t="shared" si="25"/>
        <v>386.7446102819237</v>
      </c>
      <c r="M67" s="7">
        <f t="shared" si="25"/>
        <v>364.85024549918165</v>
      </c>
      <c r="N67" s="20">
        <f t="shared" si="25"/>
        <v>378.0567612687813</v>
      </c>
      <c r="O67" s="7">
        <f t="shared" si="25"/>
        <v>330.60558751027116</v>
      </c>
      <c r="P67" s="20">
        <f t="shared" si="25"/>
        <v>316.8838174273859</v>
      </c>
    </row>
    <row r="68" spans="1:16" ht="11.25">
      <c r="A68" s="6" t="s">
        <v>61</v>
      </c>
      <c r="B68" s="6"/>
      <c r="C68" s="6">
        <f aca="true" t="shared" si="26" ref="C68:P68">C40/C64</f>
        <v>5.2434350603264726</v>
      </c>
      <c r="D68" s="6">
        <f t="shared" si="26"/>
        <v>3.037626628075253</v>
      </c>
      <c r="E68" s="6">
        <f t="shared" si="26"/>
        <v>3.1585454545454548</v>
      </c>
      <c r="F68" s="22">
        <f t="shared" si="26"/>
        <v>1.967225054624909</v>
      </c>
      <c r="G68" s="6">
        <f t="shared" si="26"/>
        <v>6.071544715447154</v>
      </c>
      <c r="H68" s="6">
        <f t="shared" si="26"/>
        <v>4.440719542109567</v>
      </c>
      <c r="I68" s="6">
        <f t="shared" si="26"/>
        <v>2.76039119804401</v>
      </c>
      <c r="J68" s="6">
        <f t="shared" si="26"/>
        <v>0.6864686468646864</v>
      </c>
      <c r="K68" s="23">
        <f t="shared" si="26"/>
        <v>5.404411764705882</v>
      </c>
      <c r="L68" s="6">
        <f t="shared" si="26"/>
        <v>3.658374792703151</v>
      </c>
      <c r="M68" s="6">
        <f t="shared" si="26"/>
        <v>1.3134206219312603</v>
      </c>
      <c r="N68" s="22">
        <f t="shared" si="26"/>
        <v>0.6243739565943238</v>
      </c>
      <c r="O68" s="6">
        <f t="shared" si="26"/>
        <v>2.3574363188167626</v>
      </c>
      <c r="P68" s="22">
        <f t="shared" si="26"/>
        <v>4.142738589211619</v>
      </c>
    </row>
    <row r="69" spans="1:16" ht="11.25">
      <c r="A69" s="16" t="s">
        <v>62</v>
      </c>
      <c r="B69" s="7"/>
      <c r="C69" s="28"/>
      <c r="D69" s="28"/>
      <c r="E69" s="28"/>
      <c r="F69" s="29"/>
      <c r="G69" s="30"/>
      <c r="H69" s="30"/>
      <c r="I69" s="30"/>
      <c r="J69" s="30"/>
      <c r="K69" s="31"/>
      <c r="L69" s="28"/>
      <c r="M69" s="28"/>
      <c r="N69" s="29"/>
      <c r="O69" s="7"/>
      <c r="P69" s="20"/>
    </row>
    <row r="70" spans="1:16" ht="11.25">
      <c r="A70" s="5" t="s">
        <v>63</v>
      </c>
      <c r="B70" s="7"/>
      <c r="C70" s="30">
        <f aca="true" t="shared" si="27" ref="C70:K70">(C10-G10)/G10</f>
        <v>0.07138700854280841</v>
      </c>
      <c r="D70" s="28">
        <f t="shared" si="27"/>
        <v>0.0792947094232439</v>
      </c>
      <c r="E70" s="28">
        <f t="shared" si="27"/>
        <v>0.06541346406293852</v>
      </c>
      <c r="F70" s="29">
        <f t="shared" si="27"/>
        <v>0.08820280563338298</v>
      </c>
      <c r="G70" s="30">
        <f t="shared" si="27"/>
        <v>0.1154516008471409</v>
      </c>
      <c r="H70" s="30">
        <f t="shared" si="27"/>
        <v>0.1358335839190243</v>
      </c>
      <c r="I70" s="30">
        <f t="shared" si="27"/>
        <v>0.1879747362986903</v>
      </c>
      <c r="J70" s="30">
        <f t="shared" si="27"/>
        <v>0.1414990141855746</v>
      </c>
      <c r="K70" s="31">
        <f t="shared" si="27"/>
        <v>0.17634817678489256</v>
      </c>
      <c r="L70" s="28">
        <f>(L10-682907)/682907</f>
        <v>0.1492457977440559</v>
      </c>
      <c r="M70" s="28">
        <f>M10/677825-1</f>
        <v>0.09738354294987639</v>
      </c>
      <c r="N70" s="29">
        <f>(N10-670100)/670100</f>
        <v>0.08765706610953589</v>
      </c>
      <c r="O70" s="7">
        <f>(O10-P10)/P10</f>
        <v>0.0418469581255592</v>
      </c>
      <c r="P70" s="20">
        <f>(P10-658765)/658765</f>
        <v>-0.00577899554469348</v>
      </c>
    </row>
    <row r="71" spans="1:16" ht="11.25">
      <c r="A71" s="5" t="s">
        <v>64</v>
      </c>
      <c r="B71" s="7"/>
      <c r="C71" s="30">
        <f aca="true" t="shared" si="28" ref="C71:K72">(C12-G12)/G12</f>
        <v>0.03795246596072614</v>
      </c>
      <c r="D71" s="28">
        <f t="shared" si="28"/>
        <v>0.09639921501257108</v>
      </c>
      <c r="E71" s="28">
        <f t="shared" si="28"/>
        <v>0.09386660127306129</v>
      </c>
      <c r="F71" s="29">
        <f t="shared" si="28"/>
        <v>0.11627336913938534</v>
      </c>
      <c r="G71" s="30">
        <f t="shared" si="28"/>
        <v>0.15618109453656237</v>
      </c>
      <c r="H71" s="30">
        <f t="shared" si="28"/>
        <v>0.1346215865006118</v>
      </c>
      <c r="I71" s="30">
        <f t="shared" si="28"/>
        <v>0.1258749913720674</v>
      </c>
      <c r="J71" s="30">
        <f t="shared" si="28"/>
        <v>0.1215472189970765</v>
      </c>
      <c r="K71" s="31">
        <f t="shared" si="28"/>
        <v>0.12800310771950224</v>
      </c>
      <c r="L71" s="28">
        <f>L12/375162-1</f>
        <v>0.12406906882893254</v>
      </c>
      <c r="M71" s="28">
        <f>M12/362679-1</f>
        <v>0.15845417021663777</v>
      </c>
      <c r="N71" s="29">
        <f>N12/360481-1</f>
        <v>0.13012613702247822</v>
      </c>
      <c r="O71" s="7">
        <f>(O12-P12)/P12</f>
        <v>0.061363919365773345</v>
      </c>
      <c r="P71" s="20">
        <f>(P12-356831)/356831</f>
        <v>0.012762344078849651</v>
      </c>
    </row>
    <row r="72" spans="2:16" ht="11.25">
      <c r="B72" s="7" t="s">
        <v>15</v>
      </c>
      <c r="C72" s="30">
        <f t="shared" si="28"/>
        <v>0.03795246596072614</v>
      </c>
      <c r="D72" s="28">
        <f t="shared" si="28"/>
        <v>0.09639921501257108</v>
      </c>
      <c r="E72" s="28">
        <f t="shared" si="28"/>
        <v>0.09352201643437139</v>
      </c>
      <c r="F72" s="29">
        <f t="shared" si="28"/>
        <v>0.11627336913938534</v>
      </c>
      <c r="G72" s="30">
        <f t="shared" si="28"/>
        <v>0.15618109453656237</v>
      </c>
      <c r="H72" s="30">
        <f t="shared" si="28"/>
        <v>0.1346215865006118</v>
      </c>
      <c r="I72" s="30">
        <f t="shared" si="28"/>
        <v>0.1258749913720674</v>
      </c>
      <c r="J72" s="30">
        <f t="shared" si="28"/>
        <v>0.1215472189970765</v>
      </c>
      <c r="K72" s="31">
        <f t="shared" si="28"/>
        <v>0.12800310771950224</v>
      </c>
      <c r="L72" s="28">
        <f>(L13-375162)/375162</f>
        <v>0.12406906882893257</v>
      </c>
      <c r="M72" s="28">
        <f>(M13-362679)/362679</f>
        <v>0.15845417021663785</v>
      </c>
      <c r="N72" s="29">
        <f>N13/360481-1</f>
        <v>0.13012613702247822</v>
      </c>
      <c r="O72" s="7">
        <f>(O13-P13)/P13</f>
        <v>0.061363919365773345</v>
      </c>
      <c r="P72" s="20">
        <f>(P13-356831)/356831</f>
        <v>0.012762344078849651</v>
      </c>
    </row>
    <row r="73" spans="2:16" ht="11.25">
      <c r="B73" s="7" t="s">
        <v>16</v>
      </c>
      <c r="C73" s="37">
        <v>0</v>
      </c>
      <c r="D73" s="37">
        <v>0</v>
      </c>
      <c r="E73" s="37">
        <v>0</v>
      </c>
      <c r="F73" s="29">
        <v>0</v>
      </c>
      <c r="G73" s="28">
        <v>0</v>
      </c>
      <c r="H73" s="30">
        <v>0</v>
      </c>
      <c r="I73" s="30">
        <v>0</v>
      </c>
      <c r="J73" s="30">
        <v>0</v>
      </c>
      <c r="K73" s="31">
        <v>0</v>
      </c>
      <c r="L73" s="28">
        <v>0</v>
      </c>
      <c r="M73" s="28">
        <v>0</v>
      </c>
      <c r="N73" s="29">
        <v>0</v>
      </c>
      <c r="O73" s="7">
        <v>0</v>
      </c>
      <c r="P73" s="20">
        <v>0</v>
      </c>
    </row>
    <row r="74" spans="1:16" ht="11.25">
      <c r="A74" s="5" t="s">
        <v>65</v>
      </c>
      <c r="B74" s="7"/>
      <c r="C74" s="30">
        <f aca="true" t="shared" si="29" ref="C74:K75">(C16-G16)/G16</f>
        <v>0.08905783234163295</v>
      </c>
      <c r="D74" s="28">
        <f t="shared" si="29"/>
        <v>0.09269451354339414</v>
      </c>
      <c r="E74" s="28">
        <f t="shared" si="29"/>
        <v>0.09041013429175924</v>
      </c>
      <c r="F74" s="29">
        <f t="shared" si="29"/>
        <v>0.13619663778545962</v>
      </c>
      <c r="G74" s="30">
        <f t="shared" si="29"/>
        <v>0.22595312523370079</v>
      </c>
      <c r="H74" s="30">
        <f t="shared" si="29"/>
        <v>0.24112912562658925</v>
      </c>
      <c r="I74" s="30">
        <f t="shared" si="29"/>
        <v>0.2668359325059942</v>
      </c>
      <c r="J74" s="30">
        <f t="shared" si="29"/>
        <v>0.1388327092238669</v>
      </c>
      <c r="K74" s="31">
        <f t="shared" si="29"/>
        <v>0.16320738069377924</v>
      </c>
      <c r="L74" s="28">
        <f>L16/407956-1</f>
        <v>0.14329486513251433</v>
      </c>
      <c r="M74" s="28">
        <f>M16/403486-1</f>
        <v>0.10498753364429003</v>
      </c>
      <c r="N74" s="29">
        <f>N16/394685-1</f>
        <v>0.14752777531449124</v>
      </c>
      <c r="O74" s="7">
        <f>(O16-P16)/P16</f>
        <v>0.053691943065903705</v>
      </c>
      <c r="P74" s="20">
        <f>(P16-455952)/455952</f>
        <v>-0.16253245955714637</v>
      </c>
    </row>
    <row r="75" spans="2:16" ht="11.25">
      <c r="B75" s="7" t="s">
        <v>15</v>
      </c>
      <c r="C75" s="30">
        <f t="shared" si="29"/>
        <v>0.08905783234163295</v>
      </c>
      <c r="D75" s="28">
        <f t="shared" si="29"/>
        <v>0.09269451354339414</v>
      </c>
      <c r="E75" s="28">
        <f t="shared" si="29"/>
        <v>0.09041013429175924</v>
      </c>
      <c r="F75" s="29">
        <f t="shared" si="29"/>
        <v>0.13619663778545962</v>
      </c>
      <c r="G75" s="30">
        <f t="shared" si="29"/>
        <v>0.22595312523370079</v>
      </c>
      <c r="H75" s="30">
        <f t="shared" si="29"/>
        <v>0.24112912562658925</v>
      </c>
      <c r="I75" s="30">
        <f t="shared" si="29"/>
        <v>0.2668359325059942</v>
      </c>
      <c r="J75" s="30">
        <f t="shared" si="29"/>
        <v>0.1388327092238669</v>
      </c>
      <c r="K75" s="31">
        <f t="shared" si="29"/>
        <v>0.16320738069377924</v>
      </c>
      <c r="L75" s="28">
        <f>L17/407956-1</f>
        <v>0.14329486513251433</v>
      </c>
      <c r="M75" s="28">
        <f>M16/403486-1</f>
        <v>0.10498753364429003</v>
      </c>
      <c r="N75" s="29">
        <f>N17/394685-1</f>
        <v>0.14752777531449124</v>
      </c>
      <c r="O75" s="7">
        <f>(O17-P17)/P17</f>
        <v>0.053691943065903705</v>
      </c>
      <c r="P75" s="20">
        <f>(P17-455952)/455952</f>
        <v>-0.16253245955714637</v>
      </c>
    </row>
    <row r="76" spans="2:16" ht="11.25">
      <c r="B76" s="7" t="s">
        <v>16</v>
      </c>
      <c r="C76" s="30">
        <v>0</v>
      </c>
      <c r="D76" s="28">
        <v>0</v>
      </c>
      <c r="E76" s="28">
        <v>0</v>
      </c>
      <c r="F76" s="29">
        <v>0</v>
      </c>
      <c r="G76" s="30">
        <v>0</v>
      </c>
      <c r="H76" s="30">
        <v>0</v>
      </c>
      <c r="I76" s="30">
        <v>0</v>
      </c>
      <c r="J76" s="30">
        <v>0</v>
      </c>
      <c r="K76" s="31">
        <v>0</v>
      </c>
      <c r="L76" s="28">
        <v>0</v>
      </c>
      <c r="M76" s="28">
        <v>0</v>
      </c>
      <c r="N76" s="29">
        <v>0</v>
      </c>
      <c r="O76" s="7">
        <v>0</v>
      </c>
      <c r="P76" s="20">
        <v>0</v>
      </c>
    </row>
    <row r="77" spans="1:16" ht="11.25">
      <c r="A77" s="5" t="s">
        <v>66</v>
      </c>
      <c r="B77" s="7"/>
      <c r="C77" s="30">
        <f aca="true" t="shared" si="30" ref="C77:K77">C25/G25-1</f>
        <v>0.0688947043215935</v>
      </c>
      <c r="D77" s="28">
        <f t="shared" si="30"/>
        <v>0.035819099199185356</v>
      </c>
      <c r="E77" s="28">
        <f t="shared" si="30"/>
        <v>0.07949344632021971</v>
      </c>
      <c r="F77" s="29">
        <f t="shared" si="30"/>
        <v>0.09028583584745098</v>
      </c>
      <c r="G77" s="30">
        <f t="shared" si="30"/>
        <v>0.07280933488004826</v>
      </c>
      <c r="H77" s="30">
        <f t="shared" si="30"/>
        <v>0.07605024855301301</v>
      </c>
      <c r="I77" s="30">
        <f t="shared" si="30"/>
        <v>0.086057761288868</v>
      </c>
      <c r="J77" s="30">
        <f t="shared" si="30"/>
        <v>0.06929710279794032</v>
      </c>
      <c r="K77" s="31">
        <f t="shared" si="30"/>
        <v>0.06896264263012553</v>
      </c>
      <c r="L77" s="28">
        <f>(L25-98666)/98666</f>
        <v>0.017381874201852714</v>
      </c>
      <c r="M77" s="28">
        <f>M25/97571-1</f>
        <v>3.0746840762096994E-05</v>
      </c>
      <c r="N77" s="29">
        <f>N25/96747-1</f>
        <v>-0.0003410958479332926</v>
      </c>
      <c r="O77" s="7">
        <f>(O25-P25)/P25</f>
        <v>0.0033037459879350544</v>
      </c>
      <c r="P77" s="20">
        <f>(P25-90678)/90678</f>
        <v>0.05482035333818567</v>
      </c>
    </row>
    <row r="78" spans="1:16" ht="11.25">
      <c r="A78" s="6" t="s">
        <v>67</v>
      </c>
      <c r="B78" s="6"/>
      <c r="C78" s="32">
        <f aca="true" t="shared" si="31" ref="C78:K78">(C40-G40)/G40</f>
        <v>-0.010712372790573112</v>
      </c>
      <c r="D78" s="32">
        <f t="shared" si="31"/>
        <v>-0.22703001288897073</v>
      </c>
      <c r="E78" s="32">
        <f t="shared" si="31"/>
        <v>0.28225568349571895</v>
      </c>
      <c r="F78" s="33">
        <f t="shared" si="31"/>
        <v>2.246394230769231</v>
      </c>
      <c r="G78" s="32">
        <f t="shared" si="31"/>
        <v>0.1289493575207861</v>
      </c>
      <c r="H78" s="32">
        <f t="shared" si="31"/>
        <v>0.23096101541251132</v>
      </c>
      <c r="I78" s="32">
        <f t="shared" si="31"/>
        <v>1.1102803738317757</v>
      </c>
      <c r="J78" s="32">
        <f t="shared" si="31"/>
        <v>0.11229946524064172</v>
      </c>
      <c r="K78" s="34">
        <f t="shared" si="31"/>
        <v>1.3056814220982922</v>
      </c>
      <c r="L78" s="32">
        <f>L40/2625-1</f>
        <v>0.6807619047619047</v>
      </c>
      <c r="M78" s="32">
        <f>M40/1711-1</f>
        <v>-0.061952074810052604</v>
      </c>
      <c r="N78" s="33">
        <f>N40/702-1</f>
        <v>0.06552706552706544</v>
      </c>
      <c r="O78" s="6">
        <f>(O40-P40)/P40</f>
        <v>-0.42528044871794873</v>
      </c>
      <c r="P78" s="22">
        <f>(P40-4992)/4992</f>
        <v>0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2017-06-16T16:00:44Z</dcterms:created>
  <dcterms:modified xsi:type="dcterms:W3CDTF">2017-06-16T16:00:48Z</dcterms:modified>
  <cp:category/>
  <cp:version/>
  <cp:contentType/>
  <cp:contentStatus/>
</cp:coreProperties>
</file>