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itibank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<sst xmlns="http://schemas.openxmlformats.org/spreadsheetml/2006/main" count="89" uniqueCount="68">
  <si>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No. 18-29</t>
  </si>
  <si>
    <t>CITIBANK, N.A.</t>
  </si>
  <si>
    <t>ESTADISTICA FINANCIERA. TRIMESTRES  2000, 2001 Y 2002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</si>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</sst>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_(* #,##0.0000_);_(* \(#,##0.0000\);_(* &quot;-&quot;??_);_(@_)"/>
    <numFmt numFmtId="199" formatCode="0.00000"/>
    <numFmt numFmtId="200" formatCode="0.0000"/>
    <numFmt numFmtId="201" formatCode="0.000"/>
    <numFmt numFmtId="202" formatCode="0.0"/>
    <numFmt numFmtId="203" formatCode="#,##0.0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195" fontId="2" fillId="0" borderId="16" xfId="46" applyNumberFormat="1" applyFont="1" applyBorder="1" applyAlignment="1">
      <alignment/>
    </xf>
    <xf numFmtId="195" fontId="2" fillId="0" borderId="0" xfId="46" applyNumberFormat="1" applyFont="1" applyBorder="1" applyAlignment="1">
      <alignment/>
    </xf>
    <xf numFmtId="195" fontId="2" fillId="0" borderId="0" xfId="46" applyNumberFormat="1" applyFont="1" applyAlignment="1">
      <alignment/>
    </xf>
    <xf numFmtId="195" fontId="3" fillId="0" borderId="0" xfId="46" applyNumberFormat="1" applyFont="1" applyAlignment="1">
      <alignment/>
    </xf>
    <xf numFmtId="195" fontId="3" fillId="0" borderId="0" xfId="46" applyNumberFormat="1" applyFont="1" applyBorder="1" applyAlignment="1">
      <alignment/>
    </xf>
    <xf numFmtId="195" fontId="3" fillId="0" borderId="15" xfId="46" applyNumberFormat="1" applyFont="1" applyBorder="1" applyAlignment="1">
      <alignment/>
    </xf>
    <xf numFmtId="195" fontId="3" fillId="0" borderId="16" xfId="46" applyNumberFormat="1" applyFont="1" applyBorder="1" applyAlignment="1">
      <alignment/>
    </xf>
    <xf numFmtId="195" fontId="3" fillId="0" borderId="10" xfId="46" applyNumberFormat="1" applyFont="1" applyBorder="1" applyAlignment="1">
      <alignment/>
    </xf>
    <xf numFmtId="195" fontId="3" fillId="0" borderId="13" xfId="46" applyNumberFormat="1" applyFont="1" applyBorder="1" applyAlignment="1">
      <alignment/>
    </xf>
    <xf numFmtId="195" fontId="3" fillId="0" borderId="14" xfId="46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95" fontId="3" fillId="0" borderId="0" xfId="46" applyNumberFormat="1" applyFont="1" applyFill="1" applyAlignment="1">
      <alignment/>
    </xf>
    <xf numFmtId="195" fontId="3" fillId="0" borderId="15" xfId="0" applyNumberFormat="1" applyFont="1" applyBorder="1" applyAlignment="1">
      <alignment/>
    </xf>
    <xf numFmtId="195" fontId="3" fillId="0" borderId="0" xfId="0" applyNumberFormat="1" applyFont="1" applyAlignment="1">
      <alignment/>
    </xf>
    <xf numFmtId="195" fontId="3" fillId="0" borderId="0" xfId="46" applyNumberFormat="1" applyFont="1" applyFill="1" applyBorder="1" applyAlignment="1">
      <alignment/>
    </xf>
    <xf numFmtId="195" fontId="3" fillId="0" borderId="10" xfId="46" applyNumberFormat="1" applyFont="1" applyFill="1" applyBorder="1" applyAlignment="1">
      <alignment/>
    </xf>
    <xf numFmtId="195" fontId="3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46" applyNumberFormat="1" applyFont="1" applyBorder="1" applyAlignment="1">
      <alignment/>
    </xf>
    <xf numFmtId="3" fontId="3" fillId="0" borderId="14" xfId="46" applyNumberFormat="1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5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6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3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3" fillId="0" borderId="16" xfId="52" applyNumberFormat="1" applyFont="1" applyBorder="1" applyAlignment="1">
      <alignment/>
    </xf>
    <xf numFmtId="197" fontId="3" fillId="0" borderId="0" xfId="52" applyNumberFormat="1" applyFont="1" applyBorder="1" applyAlignment="1">
      <alignment/>
    </xf>
    <xf numFmtId="197" fontId="3" fillId="0" borderId="15" xfId="52" applyNumberFormat="1" applyFont="1" applyBorder="1" applyAlignment="1">
      <alignment/>
    </xf>
    <xf numFmtId="197" fontId="3" fillId="0" borderId="10" xfId="52" applyNumberFormat="1" applyFont="1" applyBorder="1" applyAlignment="1">
      <alignment/>
    </xf>
    <xf numFmtId="197" fontId="3" fillId="0" borderId="13" xfId="52" applyNumberFormat="1" applyFont="1" applyBorder="1" applyAlignment="1">
      <alignment/>
    </xf>
    <xf numFmtId="197" fontId="3" fillId="0" borderId="14" xfId="52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/>
    </xf>
    <xf numFmtId="10" fontId="3" fillId="0" borderId="14" xfId="52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0" sqref="D10"/>
    </sheetView>
  </sheetViews>
  <sheetFormatPr defaultColWidth="11.421875" defaultRowHeight="12.75"/>
  <cols>
    <col min="1" max="1" width="3.57421875" style="2" customWidth="1"/>
    <col min="2" max="2" width="23.7109375" style="2" customWidth="1"/>
    <col min="3" max="3" width="8.421875" style="2" customWidth="1"/>
    <col min="4" max="4" width="7.7109375" style="2" bestFit="1" customWidth="1"/>
    <col min="5" max="5" width="7.8515625" style="2" customWidth="1"/>
    <col min="6" max="6" width="7.421875" style="2" customWidth="1"/>
    <col min="7" max="7" width="8.00390625" style="2" customWidth="1"/>
    <col min="8" max="8" width="8.28125" style="2" customWidth="1"/>
    <col min="9" max="9" width="7.421875" style="2" bestFit="1" customWidth="1"/>
    <col min="10" max="10" width="7.421875" style="2" customWidth="1"/>
    <col min="11" max="11" width="8.140625" style="2" customWidth="1"/>
    <col min="12" max="12" width="8.7109375" style="2" customWidth="1"/>
    <col min="13" max="13" width="8.140625" style="2" customWidth="1"/>
    <col min="14" max="14" width="8.00390625" style="2" customWidth="1"/>
    <col min="15" max="16" width="6.421875" style="2" hidden="1" customWidth="1"/>
    <col min="17" max="17" width="11.421875" style="2" customWidth="1"/>
    <col min="18" max="16384" width="11.421875" style="1" customWidth="1"/>
  </cols>
  <sheetData>
    <row r="1" spans="2:16" ht="11.25">
      <c r="B1" s="56"/>
      <c r="C1" s="56"/>
      <c r="D1" s="56"/>
      <c r="E1" s="56"/>
      <c r="F1" s="56"/>
      <c r="G1" s="56"/>
      <c r="H1" s="56" t="s">
        <v>0</v>
      </c>
      <c r="I1" s="56"/>
      <c r="J1" s="56"/>
      <c r="K1" s="56"/>
      <c r="L1" s="56"/>
      <c r="M1" s="56"/>
      <c r="N1" s="56"/>
      <c r="O1" s="56"/>
      <c r="P1" s="56"/>
    </row>
    <row r="2" spans="2:16" ht="11.25">
      <c r="B2" s="56"/>
      <c r="C2" s="56"/>
      <c r="D2" s="56"/>
      <c r="E2" s="56"/>
      <c r="F2" s="56"/>
      <c r="G2" s="56"/>
      <c r="H2" s="56" t="s">
        <v>1</v>
      </c>
      <c r="I2" s="56"/>
      <c r="J2" s="56"/>
      <c r="K2" s="56"/>
      <c r="L2" s="56"/>
      <c r="M2" s="56"/>
      <c r="N2" s="56"/>
      <c r="O2" s="56"/>
      <c r="P2" s="56"/>
    </row>
    <row r="3" spans="2:16" ht="11.25">
      <c r="B3" s="56"/>
      <c r="C3" s="56"/>
      <c r="D3" s="56"/>
      <c r="E3" s="56"/>
      <c r="F3" s="56"/>
      <c r="G3" s="56"/>
      <c r="H3" s="56" t="s">
        <v>2</v>
      </c>
      <c r="I3" s="56"/>
      <c r="J3" s="56"/>
      <c r="K3" s="56"/>
      <c r="L3" s="56"/>
      <c r="M3" s="56"/>
      <c r="N3" s="56"/>
      <c r="O3" s="56"/>
      <c r="P3" s="56"/>
    </row>
    <row r="4" spans="1:16" ht="11.25">
      <c r="A4" s="1"/>
      <c r="B4" s="55"/>
      <c r="C4" s="55"/>
      <c r="D4" s="55"/>
      <c r="E4" s="55"/>
      <c r="F4" s="55"/>
      <c r="G4" s="55"/>
      <c r="H4" s="55" t="s">
        <v>3</v>
      </c>
      <c r="I4" s="55"/>
      <c r="J4" s="55"/>
      <c r="K4" s="55"/>
      <c r="L4" s="55"/>
      <c r="M4" s="55"/>
      <c r="N4" s="55"/>
      <c r="O4" s="55"/>
      <c r="P4" s="55"/>
    </row>
    <row r="5" spans="1:16" ht="11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1.25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3"/>
      <c r="P6" s="3"/>
    </row>
    <row r="7" spans="1:16" ht="11.25">
      <c r="A7" s="5"/>
      <c r="B7" s="5"/>
      <c r="C7" s="58">
        <v>2002</v>
      </c>
      <c r="D7" s="58"/>
      <c r="E7" s="58"/>
      <c r="F7" s="59"/>
      <c r="G7" s="58">
        <v>2001</v>
      </c>
      <c r="H7" s="58"/>
      <c r="I7" s="58"/>
      <c r="J7" s="58"/>
      <c r="K7" s="57">
        <v>2000</v>
      </c>
      <c r="L7" s="58"/>
      <c r="M7" s="58"/>
      <c r="N7" s="58"/>
      <c r="O7" s="58" t="s">
        <v>4</v>
      </c>
      <c r="P7" s="58"/>
    </row>
    <row r="8" spans="1:16" ht="11.25">
      <c r="A8" s="6"/>
      <c r="B8" s="6"/>
      <c r="C8" s="7" t="s">
        <v>5</v>
      </c>
      <c r="D8" s="6" t="s">
        <v>6</v>
      </c>
      <c r="E8" s="8" t="s">
        <v>7</v>
      </c>
      <c r="F8" s="9" t="s">
        <v>8</v>
      </c>
      <c r="G8" s="7" t="s">
        <v>5</v>
      </c>
      <c r="H8" s="6" t="s">
        <v>6</v>
      </c>
      <c r="I8" s="6" t="s">
        <v>7</v>
      </c>
      <c r="J8" s="6" t="s">
        <v>8</v>
      </c>
      <c r="K8" s="10" t="s">
        <v>5</v>
      </c>
      <c r="L8" s="6" t="s">
        <v>6</v>
      </c>
      <c r="M8" s="6" t="s">
        <v>7</v>
      </c>
      <c r="N8" s="11" t="s">
        <v>8</v>
      </c>
      <c r="O8" s="12" t="s">
        <v>9</v>
      </c>
      <c r="P8" s="12" t="s">
        <v>10</v>
      </c>
    </row>
    <row r="9" spans="1:16" ht="11.25">
      <c r="A9" s="13" t="s">
        <v>11</v>
      </c>
      <c r="B9" s="13"/>
      <c r="C9" s="13"/>
      <c r="D9" s="13"/>
      <c r="E9" s="14"/>
      <c r="F9" s="15"/>
      <c r="G9" s="13"/>
      <c r="H9" s="13"/>
      <c r="I9" s="13"/>
      <c r="J9" s="13"/>
      <c r="K9" s="16"/>
      <c r="L9" s="17"/>
      <c r="M9" s="17"/>
      <c r="N9" s="17"/>
      <c r="O9" s="18"/>
      <c r="P9" s="18"/>
    </row>
    <row r="10" spans="1:16" ht="11.25">
      <c r="A10" s="2" t="s">
        <v>12</v>
      </c>
      <c r="C10" s="19">
        <v>638744</v>
      </c>
      <c r="D10" s="19">
        <v>597958</v>
      </c>
      <c r="E10" s="20">
        <v>767839</v>
      </c>
      <c r="F10" s="21">
        <v>814934</v>
      </c>
      <c r="G10" s="19">
        <v>931222</v>
      </c>
      <c r="H10" s="19">
        <v>782635</v>
      </c>
      <c r="I10" s="19">
        <v>807208</v>
      </c>
      <c r="J10" s="19">
        <v>781282</v>
      </c>
      <c r="K10" s="22">
        <v>795423</v>
      </c>
      <c r="L10" s="20">
        <v>788148</v>
      </c>
      <c r="M10" s="20">
        <v>764867</v>
      </c>
      <c r="N10" s="20">
        <v>801531</v>
      </c>
      <c r="O10" s="19">
        <v>839112</v>
      </c>
      <c r="P10" s="19">
        <v>841507</v>
      </c>
    </row>
    <row r="11" spans="1:16" ht="11.25">
      <c r="A11" s="2" t="s">
        <v>13</v>
      </c>
      <c r="C11" s="19">
        <v>142456</v>
      </c>
      <c r="D11" s="19">
        <v>67651</v>
      </c>
      <c r="E11" s="20">
        <v>73832</v>
      </c>
      <c r="F11" s="21">
        <v>77307</v>
      </c>
      <c r="G11" s="19">
        <v>171048</v>
      </c>
      <c r="H11" s="19">
        <v>69491</v>
      </c>
      <c r="I11" s="19">
        <v>88821</v>
      </c>
      <c r="J11" s="19">
        <v>73983</v>
      </c>
      <c r="K11" s="22">
        <v>98365</v>
      </c>
      <c r="L11" s="20">
        <v>53405</v>
      </c>
      <c r="M11" s="20">
        <v>69122</v>
      </c>
      <c r="N11" s="20">
        <v>78249</v>
      </c>
      <c r="O11" s="19">
        <v>114694</v>
      </c>
      <c r="P11" s="19">
        <v>53114</v>
      </c>
    </row>
    <row r="12" spans="1:16" ht="11.25">
      <c r="A12" s="2" t="s">
        <v>14</v>
      </c>
      <c r="C12" s="20">
        <f aca="true" t="shared" si="0" ref="C12:P12">C13+C14</f>
        <v>374382</v>
      </c>
      <c r="D12" s="20">
        <f t="shared" si="0"/>
        <v>415167</v>
      </c>
      <c r="E12" s="20">
        <f t="shared" si="0"/>
        <v>563172</v>
      </c>
      <c r="F12" s="21">
        <f t="shared" si="0"/>
        <v>605834</v>
      </c>
      <c r="G12" s="19">
        <f t="shared" si="0"/>
        <v>599947</v>
      </c>
      <c r="H12" s="19">
        <f t="shared" si="0"/>
        <v>533452</v>
      </c>
      <c r="I12" s="19">
        <f t="shared" si="0"/>
        <v>517887</v>
      </c>
      <c r="J12" s="19">
        <f t="shared" si="0"/>
        <v>494338</v>
      </c>
      <c r="K12" s="22">
        <f t="shared" si="0"/>
        <v>466910</v>
      </c>
      <c r="L12" s="20">
        <f t="shared" si="0"/>
        <v>507868</v>
      </c>
      <c r="M12" s="20">
        <f t="shared" si="0"/>
        <v>500110</v>
      </c>
      <c r="N12" s="20">
        <f t="shared" si="0"/>
        <v>505236</v>
      </c>
      <c r="O12" s="19">
        <f t="shared" si="0"/>
        <v>514231</v>
      </c>
      <c r="P12" s="19">
        <f t="shared" si="0"/>
        <v>566395</v>
      </c>
    </row>
    <row r="13" spans="2:16" ht="11.25">
      <c r="B13" s="2" t="s">
        <v>15</v>
      </c>
      <c r="C13" s="19">
        <v>374382</v>
      </c>
      <c r="D13" s="19">
        <v>415167</v>
      </c>
      <c r="E13" s="20">
        <v>563172</v>
      </c>
      <c r="F13" s="21">
        <v>605825</v>
      </c>
      <c r="G13" s="19">
        <v>597947</v>
      </c>
      <c r="H13" s="19">
        <v>530776</v>
      </c>
      <c r="I13" s="19">
        <v>517884</v>
      </c>
      <c r="J13" s="19">
        <v>494297</v>
      </c>
      <c r="K13" s="22">
        <v>466725</v>
      </c>
      <c r="L13" s="20">
        <v>502690</v>
      </c>
      <c r="M13" s="20">
        <v>491814</v>
      </c>
      <c r="N13" s="20">
        <v>497759</v>
      </c>
      <c r="O13" s="19">
        <v>480475</v>
      </c>
      <c r="P13" s="19">
        <v>495213</v>
      </c>
    </row>
    <row r="14" spans="2:16" ht="11.25">
      <c r="B14" s="2" t="s">
        <v>16</v>
      </c>
      <c r="C14" s="19">
        <v>0</v>
      </c>
      <c r="D14" s="19">
        <v>0</v>
      </c>
      <c r="E14" s="20">
        <v>0</v>
      </c>
      <c r="F14" s="21">
        <v>9</v>
      </c>
      <c r="G14" s="19">
        <v>2000</v>
      </c>
      <c r="H14" s="19">
        <v>2676</v>
      </c>
      <c r="I14" s="19">
        <v>3</v>
      </c>
      <c r="J14" s="19">
        <v>41</v>
      </c>
      <c r="K14" s="22">
        <v>185</v>
      </c>
      <c r="L14" s="20">
        <v>5178</v>
      </c>
      <c r="M14" s="20">
        <v>8296</v>
      </c>
      <c r="N14" s="20">
        <v>7477</v>
      </c>
      <c r="O14" s="19">
        <v>33756</v>
      </c>
      <c r="P14" s="19">
        <v>71182</v>
      </c>
    </row>
    <row r="15" spans="1:16" ht="11.25">
      <c r="A15" s="2" t="s">
        <v>17</v>
      </c>
      <c r="C15" s="19">
        <v>87074</v>
      </c>
      <c r="D15" s="19">
        <v>88362</v>
      </c>
      <c r="E15" s="20">
        <v>95055</v>
      </c>
      <c r="F15" s="21">
        <v>94496</v>
      </c>
      <c r="G15" s="19">
        <v>118512</v>
      </c>
      <c r="H15" s="19">
        <v>149538</v>
      </c>
      <c r="I15" s="19">
        <v>166318</v>
      </c>
      <c r="J15" s="19">
        <v>159993</v>
      </c>
      <c r="K15" s="22">
        <v>146965</v>
      </c>
      <c r="L15" s="20">
        <v>159245</v>
      </c>
      <c r="M15" s="20">
        <v>124705</v>
      </c>
      <c r="N15" s="20">
        <v>135284</v>
      </c>
      <c r="O15" s="19">
        <v>135205</v>
      </c>
      <c r="P15" s="19">
        <v>109049</v>
      </c>
    </row>
    <row r="16" spans="1:16" ht="11.25">
      <c r="A16" s="2" t="s">
        <v>18</v>
      </c>
      <c r="C16" s="20">
        <f aca="true" t="shared" si="1" ref="C16:P16">C17+C21</f>
        <v>564817</v>
      </c>
      <c r="D16" s="20">
        <f t="shared" si="1"/>
        <v>531434</v>
      </c>
      <c r="E16" s="20">
        <f t="shared" si="1"/>
        <v>684869</v>
      </c>
      <c r="F16" s="21">
        <f t="shared" si="1"/>
        <v>713095</v>
      </c>
      <c r="G16" s="19">
        <f t="shared" si="1"/>
        <v>806071</v>
      </c>
      <c r="H16" s="19">
        <f t="shared" si="1"/>
        <v>699729</v>
      </c>
      <c r="I16" s="19">
        <f t="shared" si="1"/>
        <v>726286</v>
      </c>
      <c r="J16" s="19">
        <f t="shared" si="1"/>
        <v>695093</v>
      </c>
      <c r="K16" s="22">
        <f t="shared" si="1"/>
        <v>723505</v>
      </c>
      <c r="L16" s="20">
        <f t="shared" si="1"/>
        <v>702353</v>
      </c>
      <c r="M16" s="20">
        <f t="shared" si="1"/>
        <v>685668</v>
      </c>
      <c r="N16" s="20">
        <f t="shared" si="1"/>
        <v>706920</v>
      </c>
      <c r="O16" s="19">
        <f t="shared" si="1"/>
        <v>756831</v>
      </c>
      <c r="P16" s="19">
        <f t="shared" si="1"/>
        <v>743468</v>
      </c>
    </row>
    <row r="17" spans="2:16" ht="11.25">
      <c r="B17" s="2" t="s">
        <v>15</v>
      </c>
      <c r="C17" s="20">
        <f aca="true" t="shared" si="2" ref="C17:P17">SUM(C18:C20)</f>
        <v>482775</v>
      </c>
      <c r="D17" s="20">
        <f t="shared" si="2"/>
        <v>467894</v>
      </c>
      <c r="E17" s="20">
        <f t="shared" si="2"/>
        <v>503378</v>
      </c>
      <c r="F17" s="21">
        <f t="shared" si="2"/>
        <v>468057</v>
      </c>
      <c r="G17" s="19">
        <f t="shared" si="2"/>
        <v>530777</v>
      </c>
      <c r="H17" s="19">
        <f t="shared" si="2"/>
        <v>509963</v>
      </c>
      <c r="I17" s="19">
        <f t="shared" si="2"/>
        <v>493862</v>
      </c>
      <c r="J17" s="19">
        <f t="shared" si="2"/>
        <v>449049</v>
      </c>
      <c r="K17" s="22">
        <f t="shared" si="2"/>
        <v>501389</v>
      </c>
      <c r="L17" s="20">
        <f t="shared" si="2"/>
        <v>473910</v>
      </c>
      <c r="M17" s="20">
        <f t="shared" si="2"/>
        <v>475276</v>
      </c>
      <c r="N17" s="20">
        <f t="shared" si="2"/>
        <v>482056</v>
      </c>
      <c r="O17" s="19">
        <f t="shared" si="2"/>
        <v>477724</v>
      </c>
      <c r="P17" s="19">
        <f t="shared" si="2"/>
        <v>482544</v>
      </c>
    </row>
    <row r="18" spans="2:16" ht="11.25">
      <c r="B18" s="2" t="s">
        <v>19</v>
      </c>
      <c r="C18" s="19">
        <v>23837</v>
      </c>
      <c r="D18" s="19">
        <v>3555</v>
      </c>
      <c r="E18" s="20">
        <v>43306</v>
      </c>
      <c r="F18" s="21">
        <v>46952</v>
      </c>
      <c r="G18" s="19">
        <v>0</v>
      </c>
      <c r="H18" s="19">
        <v>0</v>
      </c>
      <c r="I18" s="19">
        <v>0</v>
      </c>
      <c r="J18" s="19">
        <v>0</v>
      </c>
      <c r="K18" s="22">
        <v>0</v>
      </c>
      <c r="L18" s="20">
        <v>0</v>
      </c>
      <c r="M18" s="20">
        <v>0</v>
      </c>
      <c r="N18" s="20">
        <v>0</v>
      </c>
      <c r="O18" s="19">
        <v>0</v>
      </c>
      <c r="P18" s="19">
        <v>0</v>
      </c>
    </row>
    <row r="19" spans="2:16" ht="11.25">
      <c r="B19" s="2" t="s">
        <v>20</v>
      </c>
      <c r="C19" s="19">
        <v>435963</v>
      </c>
      <c r="D19" s="19">
        <v>435031</v>
      </c>
      <c r="E19" s="20">
        <v>412170</v>
      </c>
      <c r="F19" s="21">
        <v>402663</v>
      </c>
      <c r="G19" s="19">
        <f>111614+365375</f>
        <v>476989</v>
      </c>
      <c r="H19" s="19">
        <v>423542</v>
      </c>
      <c r="I19" s="19">
        <v>433359</v>
      </c>
      <c r="J19" s="19">
        <v>382389</v>
      </c>
      <c r="K19" s="22">
        <v>424784</v>
      </c>
      <c r="L19" s="20">
        <v>430593</v>
      </c>
      <c r="M19" s="20">
        <v>402609</v>
      </c>
      <c r="N19" s="20">
        <v>451065</v>
      </c>
      <c r="O19" s="19">
        <v>381626</v>
      </c>
      <c r="P19" s="19">
        <v>258300</v>
      </c>
    </row>
    <row r="20" spans="2:16" ht="11.25">
      <c r="B20" s="2" t="s">
        <v>21</v>
      </c>
      <c r="C20" s="19">
        <v>22975</v>
      </c>
      <c r="D20" s="19">
        <v>29308</v>
      </c>
      <c r="E20" s="20">
        <v>47902</v>
      </c>
      <c r="F20" s="21">
        <v>18442</v>
      </c>
      <c r="G20" s="19">
        <f>328+53460</f>
        <v>53788</v>
      </c>
      <c r="H20" s="19">
        <v>86421</v>
      </c>
      <c r="I20" s="19">
        <v>60503</v>
      </c>
      <c r="J20" s="19">
        <v>66660</v>
      </c>
      <c r="K20" s="22">
        <v>76605</v>
      </c>
      <c r="L20" s="20">
        <v>43317</v>
      </c>
      <c r="M20" s="20">
        <v>72667</v>
      </c>
      <c r="N20" s="20">
        <v>30991</v>
      </c>
      <c r="O20" s="19">
        <v>96098</v>
      </c>
      <c r="P20" s="19">
        <v>224244</v>
      </c>
    </row>
    <row r="21" spans="2:16" ht="11.25">
      <c r="B21" s="2" t="s">
        <v>16</v>
      </c>
      <c r="C21" s="20">
        <f>SUM(C22:C24)</f>
        <v>82042</v>
      </c>
      <c r="D21" s="20">
        <f aca="true" t="shared" si="3" ref="D21:P21">SUM(D23:D24)</f>
        <v>63540</v>
      </c>
      <c r="E21" s="20">
        <f t="shared" si="3"/>
        <v>181491</v>
      </c>
      <c r="F21" s="21">
        <f t="shared" si="3"/>
        <v>245038</v>
      </c>
      <c r="G21" s="19">
        <f t="shared" si="3"/>
        <v>275294</v>
      </c>
      <c r="H21" s="19">
        <f t="shared" si="3"/>
        <v>189766</v>
      </c>
      <c r="I21" s="19">
        <f t="shared" si="3"/>
        <v>232424</v>
      </c>
      <c r="J21" s="19">
        <f t="shared" si="3"/>
        <v>246044</v>
      </c>
      <c r="K21" s="22">
        <f t="shared" si="3"/>
        <v>222116</v>
      </c>
      <c r="L21" s="20">
        <f t="shared" si="3"/>
        <v>228443</v>
      </c>
      <c r="M21" s="20">
        <f t="shared" si="3"/>
        <v>210392</v>
      </c>
      <c r="N21" s="20">
        <f t="shared" si="3"/>
        <v>224864</v>
      </c>
      <c r="O21" s="19">
        <f t="shared" si="3"/>
        <v>279107</v>
      </c>
      <c r="P21" s="19">
        <f t="shared" si="3"/>
        <v>260924</v>
      </c>
    </row>
    <row r="22" spans="2:16" ht="11.25">
      <c r="B22" s="2" t="s">
        <v>19</v>
      </c>
      <c r="C22" s="20">
        <v>0</v>
      </c>
      <c r="D22" s="20">
        <v>0</v>
      </c>
      <c r="E22" s="20">
        <v>0</v>
      </c>
      <c r="F22" s="21">
        <v>0</v>
      </c>
      <c r="G22" s="19">
        <v>0</v>
      </c>
      <c r="H22" s="19">
        <v>0</v>
      </c>
      <c r="I22" s="19">
        <v>0</v>
      </c>
      <c r="J22" s="19">
        <v>0</v>
      </c>
      <c r="K22" s="22">
        <v>0</v>
      </c>
      <c r="L22" s="20">
        <v>0</v>
      </c>
      <c r="M22" s="20">
        <v>0</v>
      </c>
      <c r="N22" s="20">
        <v>0</v>
      </c>
      <c r="O22" s="19"/>
      <c r="P22" s="19"/>
    </row>
    <row r="23" spans="2:16" ht="11.25">
      <c r="B23" s="2" t="s">
        <v>20</v>
      </c>
      <c r="C23" s="19">
        <v>51968</v>
      </c>
      <c r="D23" s="19">
        <v>45184</v>
      </c>
      <c r="E23" s="20">
        <v>45466</v>
      </c>
      <c r="F23" s="21">
        <v>41722</v>
      </c>
      <c r="G23" s="19">
        <f>31433+11271</f>
        <v>42704</v>
      </c>
      <c r="H23" s="19">
        <v>47753</v>
      </c>
      <c r="I23" s="19">
        <v>55223</v>
      </c>
      <c r="J23" s="19">
        <v>53778</v>
      </c>
      <c r="K23" s="22">
        <v>64108</v>
      </c>
      <c r="L23" s="20">
        <v>56593</v>
      </c>
      <c r="M23" s="20">
        <v>55814</v>
      </c>
      <c r="N23" s="20">
        <v>56895</v>
      </c>
      <c r="O23" s="19">
        <v>56624</v>
      </c>
      <c r="P23" s="19">
        <v>51509</v>
      </c>
    </row>
    <row r="24" spans="2:16" ht="11.25">
      <c r="B24" s="2" t="s">
        <v>21</v>
      </c>
      <c r="C24" s="19">
        <v>30074</v>
      </c>
      <c r="D24" s="19">
        <v>18356</v>
      </c>
      <c r="E24" s="20">
        <v>136025</v>
      </c>
      <c r="F24" s="21">
        <v>203316</v>
      </c>
      <c r="G24" s="19">
        <f>39+207551+25000</f>
        <v>232590</v>
      </c>
      <c r="H24" s="19">
        <v>142013</v>
      </c>
      <c r="I24" s="19">
        <v>177201</v>
      </c>
      <c r="J24" s="19">
        <v>192266</v>
      </c>
      <c r="K24" s="22">
        <v>158008</v>
      </c>
      <c r="L24" s="20">
        <v>171850</v>
      </c>
      <c r="M24" s="20">
        <v>154578</v>
      </c>
      <c r="N24" s="20">
        <v>167969</v>
      </c>
      <c r="O24" s="19">
        <v>222483</v>
      </c>
      <c r="P24" s="19">
        <v>209415</v>
      </c>
    </row>
    <row r="25" spans="1:16" ht="11.25">
      <c r="A25" s="3" t="s">
        <v>22</v>
      </c>
      <c r="B25" s="3"/>
      <c r="C25" s="23">
        <v>20338</v>
      </c>
      <c r="D25" s="23">
        <v>20958</v>
      </c>
      <c r="E25" s="23">
        <v>23792</v>
      </c>
      <c r="F25" s="24">
        <v>43877</v>
      </c>
      <c r="G25" s="23">
        <v>39879</v>
      </c>
      <c r="H25" s="23">
        <v>34902</v>
      </c>
      <c r="I25" s="23">
        <v>35087</v>
      </c>
      <c r="J25" s="23">
        <v>28957</v>
      </c>
      <c r="K25" s="25">
        <v>30021</v>
      </c>
      <c r="L25" s="23">
        <v>33539</v>
      </c>
      <c r="M25" s="23">
        <v>32801</v>
      </c>
      <c r="N25" s="23">
        <v>46388</v>
      </c>
      <c r="O25" s="23">
        <v>39790</v>
      </c>
      <c r="P25" s="23">
        <v>45871</v>
      </c>
    </row>
    <row r="26" spans="1:16" ht="11.25">
      <c r="A26" s="13" t="s">
        <v>23</v>
      </c>
      <c r="E26" s="20"/>
      <c r="F26" s="26"/>
      <c r="H26" s="19"/>
      <c r="J26" s="19"/>
      <c r="K26" s="22"/>
      <c r="L26" s="20"/>
      <c r="M26" s="20"/>
      <c r="N26" s="20"/>
      <c r="O26" s="19"/>
      <c r="P26" s="19"/>
    </row>
    <row r="27" spans="1:16" ht="11.25">
      <c r="A27" s="2" t="s">
        <v>12</v>
      </c>
      <c r="C27" s="20">
        <f aca="true" t="shared" si="4" ref="C27:K27">(C10+G10)/2</f>
        <v>784983</v>
      </c>
      <c r="D27" s="20">
        <f t="shared" si="4"/>
        <v>690296.5</v>
      </c>
      <c r="E27" s="20">
        <f t="shared" si="4"/>
        <v>787523.5</v>
      </c>
      <c r="F27" s="21">
        <f t="shared" si="4"/>
        <v>798108</v>
      </c>
      <c r="G27" s="19">
        <f t="shared" si="4"/>
        <v>863322.5</v>
      </c>
      <c r="H27" s="19">
        <f t="shared" si="4"/>
        <v>785391.5</v>
      </c>
      <c r="I27" s="19">
        <f t="shared" si="4"/>
        <v>786037.5</v>
      </c>
      <c r="J27" s="19">
        <f t="shared" si="4"/>
        <v>791406.5</v>
      </c>
      <c r="K27" s="22">
        <f t="shared" si="4"/>
        <v>817267.5</v>
      </c>
      <c r="L27" s="20">
        <f>(L10+794765)/2</f>
        <v>791456.5</v>
      </c>
      <c r="M27" s="20">
        <f>(M10+814752)/2</f>
        <v>789809.5</v>
      </c>
      <c r="N27" s="20">
        <f>(N10+892778)/2</f>
        <v>847154.5</v>
      </c>
      <c r="O27" s="19">
        <f>(O10+P10)/2</f>
        <v>840309.5</v>
      </c>
      <c r="P27" s="19">
        <f>(P10+714462)/2</f>
        <v>777984.5</v>
      </c>
    </row>
    <row r="28" spans="1:16" ht="11.25">
      <c r="A28" s="2" t="s">
        <v>24</v>
      </c>
      <c r="C28" s="20">
        <f aca="true" t="shared" si="5" ref="C28:P28">C29+C30</f>
        <v>589957.5</v>
      </c>
      <c r="D28" s="20">
        <f t="shared" si="5"/>
        <v>593259.5</v>
      </c>
      <c r="E28" s="20">
        <f t="shared" si="5"/>
        <v>671216</v>
      </c>
      <c r="F28" s="21">
        <f t="shared" si="5"/>
        <v>677330.5</v>
      </c>
      <c r="G28" s="19">
        <f t="shared" si="5"/>
        <v>666167</v>
      </c>
      <c r="H28" s="19">
        <f t="shared" si="5"/>
        <v>675051.5</v>
      </c>
      <c r="I28" s="19">
        <f t="shared" si="5"/>
        <v>654510</v>
      </c>
      <c r="J28" s="19">
        <f t="shared" si="5"/>
        <v>647425.5</v>
      </c>
      <c r="K28" s="22">
        <f t="shared" si="5"/>
        <v>631655.5</v>
      </c>
      <c r="L28" s="20">
        <f t="shared" si="5"/>
        <v>665524.5</v>
      </c>
      <c r="M28" s="20">
        <f t="shared" si="5"/>
        <v>649865</v>
      </c>
      <c r="N28" s="20">
        <f t="shared" si="5"/>
        <v>668766.5</v>
      </c>
      <c r="O28" s="19">
        <f t="shared" si="5"/>
        <v>662440</v>
      </c>
      <c r="P28" s="19">
        <f t="shared" si="5"/>
        <v>610441.5</v>
      </c>
    </row>
    <row r="29" spans="2:16" ht="11.25">
      <c r="B29" s="2" t="s">
        <v>14</v>
      </c>
      <c r="C29" s="20">
        <f aca="true" t="shared" si="6" ref="C29:K29">(C12+G12)/2</f>
        <v>487164.5</v>
      </c>
      <c r="D29" s="20">
        <f t="shared" si="6"/>
        <v>474309.5</v>
      </c>
      <c r="E29" s="20">
        <f t="shared" si="6"/>
        <v>540529.5</v>
      </c>
      <c r="F29" s="21">
        <f t="shared" si="6"/>
        <v>550086</v>
      </c>
      <c r="G29" s="19">
        <f t="shared" si="6"/>
        <v>533428.5</v>
      </c>
      <c r="H29" s="19">
        <f t="shared" si="6"/>
        <v>520660</v>
      </c>
      <c r="I29" s="19">
        <f t="shared" si="6"/>
        <v>508998.5</v>
      </c>
      <c r="J29" s="19">
        <f t="shared" si="6"/>
        <v>499787</v>
      </c>
      <c r="K29" s="22">
        <f t="shared" si="6"/>
        <v>490570.5</v>
      </c>
      <c r="L29" s="20">
        <f>(L12+548648)/2</f>
        <v>528258</v>
      </c>
      <c r="M29" s="20">
        <f>(M12+547884)/2</f>
        <v>523997</v>
      </c>
      <c r="N29" s="20">
        <f>(N12+568504)/2</f>
        <v>536870</v>
      </c>
      <c r="O29" s="19">
        <f>(O12+P12)/2</f>
        <v>540313</v>
      </c>
      <c r="P29" s="19">
        <f>(P12+419651)/2</f>
        <v>493023</v>
      </c>
    </row>
    <row r="30" spans="2:16" ht="11.25">
      <c r="B30" s="2" t="s">
        <v>17</v>
      </c>
      <c r="C30" s="20">
        <f aca="true" t="shared" si="7" ref="C30:K30">(C15+G15)/2</f>
        <v>102793</v>
      </c>
      <c r="D30" s="20">
        <f t="shared" si="7"/>
        <v>118950</v>
      </c>
      <c r="E30" s="20">
        <f t="shared" si="7"/>
        <v>130686.5</v>
      </c>
      <c r="F30" s="21">
        <f t="shared" si="7"/>
        <v>127244.5</v>
      </c>
      <c r="G30" s="19">
        <f t="shared" si="7"/>
        <v>132738.5</v>
      </c>
      <c r="H30" s="19">
        <f t="shared" si="7"/>
        <v>154391.5</v>
      </c>
      <c r="I30" s="19">
        <f t="shared" si="7"/>
        <v>145511.5</v>
      </c>
      <c r="J30" s="19">
        <f t="shared" si="7"/>
        <v>147638.5</v>
      </c>
      <c r="K30" s="22">
        <f t="shared" si="7"/>
        <v>141085</v>
      </c>
      <c r="L30" s="20">
        <f>(L15+115288)/2</f>
        <v>137266.5</v>
      </c>
      <c r="M30" s="20">
        <f>(M15+127031)/2</f>
        <v>125868</v>
      </c>
      <c r="N30" s="20">
        <f>(N15+128509)/2</f>
        <v>131896.5</v>
      </c>
      <c r="O30" s="19">
        <f>(O15+P15)/2</f>
        <v>122127</v>
      </c>
      <c r="P30" s="19">
        <f>(P15+125788)/2</f>
        <v>117418.5</v>
      </c>
    </row>
    <row r="31" spans="1:16" ht="11.25">
      <c r="A31" s="3" t="s">
        <v>22</v>
      </c>
      <c r="B31" s="3"/>
      <c r="C31" s="23">
        <f aca="true" t="shared" si="8" ref="C31:K31">(C25+G25)/2</f>
        <v>30108.5</v>
      </c>
      <c r="D31" s="23">
        <f t="shared" si="8"/>
        <v>27930</v>
      </c>
      <c r="E31" s="23">
        <f t="shared" si="8"/>
        <v>29439.5</v>
      </c>
      <c r="F31" s="24">
        <f t="shared" si="8"/>
        <v>36417</v>
      </c>
      <c r="G31" s="23">
        <f t="shared" si="8"/>
        <v>34950</v>
      </c>
      <c r="H31" s="23">
        <f t="shared" si="8"/>
        <v>34220.5</v>
      </c>
      <c r="I31" s="23">
        <f t="shared" si="8"/>
        <v>33944</v>
      </c>
      <c r="J31" s="23">
        <f t="shared" si="8"/>
        <v>37672.5</v>
      </c>
      <c r="K31" s="25">
        <f t="shared" si="8"/>
        <v>34905.5</v>
      </c>
      <c r="L31" s="23">
        <f>(L25+34883)/2</f>
        <v>34211</v>
      </c>
      <c r="M31" s="23">
        <f>(M25+33751)/2</f>
        <v>33276</v>
      </c>
      <c r="N31" s="23">
        <f>(N25+41328)/2</f>
        <v>43858</v>
      </c>
      <c r="O31" s="23">
        <f>(O25+P25)/2</f>
        <v>42830.5</v>
      </c>
      <c r="P31" s="23">
        <f>(P25+37169)/2</f>
        <v>41520</v>
      </c>
    </row>
    <row r="32" spans="1:14" ht="11.25">
      <c r="A32" s="13" t="s">
        <v>25</v>
      </c>
      <c r="E32" s="20"/>
      <c r="F32" s="26"/>
      <c r="H32" s="19"/>
      <c r="J32" s="19"/>
      <c r="K32" s="27"/>
      <c r="L32" s="4"/>
      <c r="M32" s="4"/>
      <c r="N32" s="4"/>
    </row>
    <row r="33" spans="1:16" ht="11.25">
      <c r="A33" s="2" t="s">
        <v>26</v>
      </c>
      <c r="C33" s="28">
        <v>49555</v>
      </c>
      <c r="D33" s="19">
        <v>38724</v>
      </c>
      <c r="E33" s="20">
        <v>29852</v>
      </c>
      <c r="F33" s="29">
        <v>16148</v>
      </c>
      <c r="G33" s="30">
        <v>71500</v>
      </c>
      <c r="H33" s="19">
        <f>I33+17404</f>
        <v>55093</v>
      </c>
      <c r="I33" s="19">
        <f>J33+17879</f>
        <v>37689</v>
      </c>
      <c r="J33" s="19">
        <v>19810</v>
      </c>
      <c r="K33" s="22">
        <f>20029+L33</f>
        <v>79830</v>
      </c>
      <c r="L33" s="20">
        <f>19955+M33</f>
        <v>59801</v>
      </c>
      <c r="M33" s="20">
        <f>19254+N33</f>
        <v>39846</v>
      </c>
      <c r="N33" s="20">
        <v>20592</v>
      </c>
      <c r="O33" s="19">
        <v>78559</v>
      </c>
      <c r="P33" s="19">
        <v>72773</v>
      </c>
    </row>
    <row r="34" spans="1:16" ht="11.25">
      <c r="A34" s="2" t="s">
        <v>27</v>
      </c>
      <c r="C34" s="28">
        <v>12513</v>
      </c>
      <c r="D34" s="19">
        <v>10454</v>
      </c>
      <c r="E34" s="20">
        <v>7839</v>
      </c>
      <c r="F34" s="29">
        <v>4286</v>
      </c>
      <c r="G34" s="30">
        <v>28354</v>
      </c>
      <c r="H34" s="19">
        <f>I34+6513</f>
        <v>23152</v>
      </c>
      <c r="I34" s="19">
        <f>J34+7707</f>
        <v>16639</v>
      </c>
      <c r="J34" s="19">
        <v>8932</v>
      </c>
      <c r="K34" s="22">
        <f>9832+L34</f>
        <v>37285</v>
      </c>
      <c r="L34" s="20">
        <f>9414+M34</f>
        <v>27453</v>
      </c>
      <c r="M34" s="20">
        <f>8842+N34</f>
        <v>18039</v>
      </c>
      <c r="N34" s="20">
        <v>9197</v>
      </c>
      <c r="O34" s="19">
        <v>35374</v>
      </c>
      <c r="P34" s="19">
        <v>34012</v>
      </c>
    </row>
    <row r="35" spans="1:16" ht="11.25">
      <c r="A35" s="2" t="s">
        <v>28</v>
      </c>
      <c r="C35" s="31">
        <f aca="true" t="shared" si="9" ref="C35:P35">C33-C34</f>
        <v>37042</v>
      </c>
      <c r="D35" s="20">
        <f t="shared" si="9"/>
        <v>28270</v>
      </c>
      <c r="E35" s="20">
        <f t="shared" si="9"/>
        <v>22013</v>
      </c>
      <c r="F35" s="21">
        <f t="shared" si="9"/>
        <v>11862</v>
      </c>
      <c r="G35" s="19">
        <f t="shared" si="9"/>
        <v>43146</v>
      </c>
      <c r="H35" s="19">
        <f t="shared" si="9"/>
        <v>31941</v>
      </c>
      <c r="I35" s="19">
        <f t="shared" si="9"/>
        <v>21050</v>
      </c>
      <c r="J35" s="19">
        <f t="shared" si="9"/>
        <v>10878</v>
      </c>
      <c r="K35" s="22">
        <f t="shared" si="9"/>
        <v>42545</v>
      </c>
      <c r="L35" s="20">
        <f t="shared" si="9"/>
        <v>32348</v>
      </c>
      <c r="M35" s="20">
        <f t="shared" si="9"/>
        <v>21807</v>
      </c>
      <c r="N35" s="20">
        <f t="shared" si="9"/>
        <v>11395</v>
      </c>
      <c r="O35" s="19">
        <f t="shared" si="9"/>
        <v>43185</v>
      </c>
      <c r="P35" s="19">
        <f t="shared" si="9"/>
        <v>38761</v>
      </c>
    </row>
    <row r="36" spans="1:16" ht="11.25">
      <c r="A36" s="2" t="s">
        <v>29</v>
      </c>
      <c r="C36" s="28">
        <v>34642</v>
      </c>
      <c r="D36" s="19">
        <v>29970</v>
      </c>
      <c r="E36" s="20">
        <v>12415</v>
      </c>
      <c r="F36" s="29">
        <v>7511</v>
      </c>
      <c r="G36" s="30">
        <v>24784</v>
      </c>
      <c r="H36" s="19">
        <f>I36+8832</f>
        <v>15378</v>
      </c>
      <c r="I36" s="19">
        <f>J36+4112</f>
        <v>6546</v>
      </c>
      <c r="J36" s="19">
        <v>2434</v>
      </c>
      <c r="K36" s="22">
        <f>3602+L36</f>
        <v>18778</v>
      </c>
      <c r="L36" s="20">
        <f>3146+M36</f>
        <v>15176</v>
      </c>
      <c r="M36" s="20">
        <f>9079+N36</f>
        <v>12030</v>
      </c>
      <c r="N36" s="20">
        <v>2951</v>
      </c>
      <c r="O36" s="19">
        <v>12396</v>
      </c>
      <c r="P36" s="19">
        <v>9837</v>
      </c>
    </row>
    <row r="37" spans="1:16" ht="11.25">
      <c r="A37" s="2" t="s">
        <v>30</v>
      </c>
      <c r="C37" s="31">
        <f aca="true" t="shared" si="10" ref="C37:P37">C35+C36</f>
        <v>71684</v>
      </c>
      <c r="D37" s="20">
        <f t="shared" si="10"/>
        <v>58240</v>
      </c>
      <c r="E37" s="20">
        <f t="shared" si="10"/>
        <v>34428</v>
      </c>
      <c r="F37" s="21">
        <f t="shared" si="10"/>
        <v>19373</v>
      </c>
      <c r="G37" s="19">
        <f t="shared" si="10"/>
        <v>67930</v>
      </c>
      <c r="H37" s="19">
        <f t="shared" si="10"/>
        <v>47319</v>
      </c>
      <c r="I37" s="19">
        <f t="shared" si="10"/>
        <v>27596</v>
      </c>
      <c r="J37" s="19">
        <f t="shared" si="10"/>
        <v>13312</v>
      </c>
      <c r="K37" s="22">
        <f t="shared" si="10"/>
        <v>61323</v>
      </c>
      <c r="L37" s="20">
        <f t="shared" si="10"/>
        <v>47524</v>
      </c>
      <c r="M37" s="20">
        <f t="shared" si="10"/>
        <v>33837</v>
      </c>
      <c r="N37" s="20">
        <f t="shared" si="10"/>
        <v>14346</v>
      </c>
      <c r="O37" s="19">
        <f t="shared" si="10"/>
        <v>55581</v>
      </c>
      <c r="P37" s="19">
        <f t="shared" si="10"/>
        <v>48598</v>
      </c>
    </row>
    <row r="38" spans="1:16" ht="11.25">
      <c r="A38" s="2" t="s">
        <v>31</v>
      </c>
      <c r="C38" s="28">
        <v>37110</v>
      </c>
      <c r="D38" s="19">
        <v>25854</v>
      </c>
      <c r="E38" s="20">
        <v>16213</v>
      </c>
      <c r="F38" s="29">
        <v>7781</v>
      </c>
      <c r="G38" s="30">
        <v>32379</v>
      </c>
      <c r="H38" s="19">
        <f>I38+8941</f>
        <v>25212</v>
      </c>
      <c r="I38" s="19">
        <f>J38+7955</f>
        <v>16271</v>
      </c>
      <c r="J38" s="19">
        <v>8316</v>
      </c>
      <c r="K38" s="22">
        <f>8175+L38</f>
        <v>33262</v>
      </c>
      <c r="L38" s="20">
        <f>7971+M38</f>
        <v>25087</v>
      </c>
      <c r="M38" s="20">
        <f>8642+N38</f>
        <v>17116</v>
      </c>
      <c r="N38" s="20">
        <v>8474</v>
      </c>
      <c r="O38" s="19">
        <v>30874</v>
      </c>
      <c r="P38" s="19">
        <v>29413</v>
      </c>
    </row>
    <row r="39" spans="1:16" ht="11.25">
      <c r="A39" s="2" t="s">
        <v>32</v>
      </c>
      <c r="C39" s="31">
        <f aca="true" t="shared" si="11" ref="C39:P39">C37-C38</f>
        <v>34574</v>
      </c>
      <c r="D39" s="20">
        <f t="shared" si="11"/>
        <v>32386</v>
      </c>
      <c r="E39" s="20">
        <f t="shared" si="11"/>
        <v>18215</v>
      </c>
      <c r="F39" s="21">
        <f t="shared" si="11"/>
        <v>11592</v>
      </c>
      <c r="G39" s="19">
        <f t="shared" si="11"/>
        <v>35551</v>
      </c>
      <c r="H39" s="19">
        <f t="shared" si="11"/>
        <v>22107</v>
      </c>
      <c r="I39" s="19">
        <f t="shared" si="11"/>
        <v>11325</v>
      </c>
      <c r="J39" s="19">
        <f t="shared" si="11"/>
        <v>4996</v>
      </c>
      <c r="K39" s="22">
        <f t="shared" si="11"/>
        <v>28061</v>
      </c>
      <c r="L39" s="20">
        <f t="shared" si="11"/>
        <v>22437</v>
      </c>
      <c r="M39" s="20">
        <f t="shared" si="11"/>
        <v>16721</v>
      </c>
      <c r="N39" s="20">
        <f t="shared" si="11"/>
        <v>5872</v>
      </c>
      <c r="O39" s="19">
        <f t="shared" si="11"/>
        <v>24707</v>
      </c>
      <c r="P39" s="19">
        <f t="shared" si="11"/>
        <v>19185</v>
      </c>
    </row>
    <row r="40" spans="1:16" ht="11.25">
      <c r="A40" s="3" t="s">
        <v>33</v>
      </c>
      <c r="B40" s="3"/>
      <c r="C40" s="32">
        <v>18435</v>
      </c>
      <c r="D40" s="23">
        <v>19049</v>
      </c>
      <c r="E40" s="23">
        <v>9784</v>
      </c>
      <c r="F40" s="33">
        <v>9107</v>
      </c>
      <c r="G40" s="34">
        <v>16836</v>
      </c>
      <c r="H40" s="35">
        <f>I40+7937</f>
        <v>7637</v>
      </c>
      <c r="I40" s="35">
        <f>J40+3533</f>
        <v>-300</v>
      </c>
      <c r="J40" s="35">
        <v>-3833</v>
      </c>
      <c r="K40" s="36">
        <f>-4331+L40</f>
        <v>1030</v>
      </c>
      <c r="L40" s="23">
        <f>1232+M40</f>
        <v>5361</v>
      </c>
      <c r="M40" s="23">
        <f>1241+N40</f>
        <v>4129</v>
      </c>
      <c r="N40" s="23">
        <v>2888</v>
      </c>
      <c r="O40" s="23">
        <v>8189</v>
      </c>
      <c r="P40" s="23">
        <v>15037</v>
      </c>
    </row>
    <row r="41" spans="1:16" ht="11.25">
      <c r="A41" s="13" t="s">
        <v>34</v>
      </c>
      <c r="E41" s="20"/>
      <c r="F41" s="26"/>
      <c r="H41" s="19"/>
      <c r="I41" s="19"/>
      <c r="K41" s="22"/>
      <c r="L41" s="20"/>
      <c r="M41" s="20"/>
      <c r="N41" s="20"/>
      <c r="O41" s="19"/>
      <c r="P41" s="19"/>
    </row>
    <row r="42" spans="1:16" ht="11.25">
      <c r="A42" s="2" t="s">
        <v>35</v>
      </c>
      <c r="C42" s="19">
        <v>12656</v>
      </c>
      <c r="D42" s="19">
        <v>11513</v>
      </c>
      <c r="E42" s="20">
        <v>7234</v>
      </c>
      <c r="F42" s="21">
        <v>6965</v>
      </c>
      <c r="G42" s="2">
        <v>10942</v>
      </c>
      <c r="H42" s="19">
        <v>11814</v>
      </c>
      <c r="I42" s="19">
        <v>13398</v>
      </c>
      <c r="J42" s="19">
        <v>15088</v>
      </c>
      <c r="K42" s="22">
        <v>9193</v>
      </c>
      <c r="L42" s="20">
        <v>7908</v>
      </c>
      <c r="M42" s="20">
        <v>7389</v>
      </c>
      <c r="N42" s="20">
        <v>3218</v>
      </c>
      <c r="O42" s="19">
        <v>2487</v>
      </c>
      <c r="P42" s="19">
        <v>2500</v>
      </c>
    </row>
    <row r="43" spans="1:16" ht="11.25">
      <c r="A43" s="2" t="s">
        <v>36</v>
      </c>
      <c r="C43" s="19">
        <v>9147</v>
      </c>
      <c r="D43" s="19">
        <v>8817</v>
      </c>
      <c r="E43" s="20">
        <v>6335</v>
      </c>
      <c r="F43" s="21">
        <v>6816</v>
      </c>
      <c r="G43" s="2">
        <v>8659</v>
      </c>
      <c r="H43" s="19">
        <v>7498</v>
      </c>
      <c r="I43" s="19">
        <v>8029</v>
      </c>
      <c r="J43" s="19">
        <v>9181</v>
      </c>
      <c r="K43" s="22">
        <v>4076</v>
      </c>
      <c r="L43" s="20">
        <v>0</v>
      </c>
      <c r="M43" s="20">
        <v>0</v>
      </c>
      <c r="N43" s="20">
        <v>0</v>
      </c>
      <c r="O43" s="19">
        <v>0</v>
      </c>
      <c r="P43" s="19">
        <v>0</v>
      </c>
    </row>
    <row r="44" spans="1:16" ht="11.25">
      <c r="A44" s="2" t="s">
        <v>37</v>
      </c>
      <c r="C44" s="37">
        <f aca="true" t="shared" si="12" ref="C44:P44">C42/C12</f>
        <v>0.03380504404592101</v>
      </c>
      <c r="D44" s="37">
        <f t="shared" si="12"/>
        <v>0.027731009449209594</v>
      </c>
      <c r="E44" s="37">
        <f t="shared" si="12"/>
        <v>0.012845098833038575</v>
      </c>
      <c r="F44" s="38">
        <f t="shared" si="12"/>
        <v>0.0114965485595064</v>
      </c>
      <c r="G44" s="39">
        <f t="shared" si="12"/>
        <v>0.01823827771453145</v>
      </c>
      <c r="H44" s="39">
        <f t="shared" si="12"/>
        <v>0.022146322443256376</v>
      </c>
      <c r="I44" s="39">
        <f t="shared" si="12"/>
        <v>0.025870508431375956</v>
      </c>
      <c r="J44" s="39">
        <f t="shared" si="12"/>
        <v>0.03052162690305014</v>
      </c>
      <c r="K44" s="40">
        <f t="shared" si="12"/>
        <v>0.019689019297080806</v>
      </c>
      <c r="L44" s="37">
        <f t="shared" si="12"/>
        <v>0.01557097513527137</v>
      </c>
      <c r="M44" s="37">
        <f t="shared" si="12"/>
        <v>0.014774749555097878</v>
      </c>
      <c r="N44" s="37">
        <f t="shared" si="12"/>
        <v>0.006369300683245057</v>
      </c>
      <c r="O44" s="39">
        <f t="shared" si="12"/>
        <v>0.0048363478670091845</v>
      </c>
      <c r="P44" s="39">
        <f t="shared" si="12"/>
        <v>0.00441388077225258</v>
      </c>
    </row>
    <row r="45" spans="1:16" ht="11.25">
      <c r="A45" s="2" t="s">
        <v>38</v>
      </c>
      <c r="C45" s="37">
        <f aca="true" t="shared" si="13" ref="C45:P45">C43/C42</f>
        <v>0.7227402022756005</v>
      </c>
      <c r="D45" s="37">
        <f t="shared" si="13"/>
        <v>0.7658299313819161</v>
      </c>
      <c r="E45" s="37">
        <f t="shared" si="13"/>
        <v>0.8757257395631739</v>
      </c>
      <c r="F45" s="38">
        <f t="shared" si="13"/>
        <v>0.9786073223259153</v>
      </c>
      <c r="G45" s="39">
        <f t="shared" si="13"/>
        <v>0.7913544141838786</v>
      </c>
      <c r="H45" s="39">
        <f t="shared" si="13"/>
        <v>0.6346707296427967</v>
      </c>
      <c r="I45" s="39">
        <f t="shared" si="13"/>
        <v>0.5992685475444096</v>
      </c>
      <c r="J45" s="39">
        <f t="shared" si="13"/>
        <v>0.6084968186638389</v>
      </c>
      <c r="K45" s="40">
        <f t="shared" si="13"/>
        <v>0.4433808332426846</v>
      </c>
      <c r="L45" s="37">
        <f t="shared" si="13"/>
        <v>0</v>
      </c>
      <c r="M45" s="37">
        <f t="shared" si="13"/>
        <v>0</v>
      </c>
      <c r="N45" s="37">
        <f t="shared" si="13"/>
        <v>0</v>
      </c>
      <c r="O45" s="39">
        <f t="shared" si="13"/>
        <v>0</v>
      </c>
      <c r="P45" s="39">
        <f t="shared" si="13"/>
        <v>0</v>
      </c>
    </row>
    <row r="46" spans="1:16" ht="11.25">
      <c r="A46" s="3" t="s">
        <v>39</v>
      </c>
      <c r="B46" s="3"/>
      <c r="C46" s="41">
        <f aca="true" t="shared" si="14" ref="C46:P46">C43/C12</f>
        <v>0.024432264371684536</v>
      </c>
      <c r="D46" s="41">
        <f t="shared" si="14"/>
        <v>0.02123723706363945</v>
      </c>
      <c r="E46" s="41">
        <f t="shared" si="14"/>
        <v>0.011248783675324768</v>
      </c>
      <c r="F46" s="42">
        <f t="shared" si="14"/>
        <v>0.011250606601808415</v>
      </c>
      <c r="G46" s="41">
        <f t="shared" si="14"/>
        <v>0.014432941576505924</v>
      </c>
      <c r="H46" s="41">
        <f t="shared" si="14"/>
        <v>0.014055622623966167</v>
      </c>
      <c r="I46" s="41">
        <f t="shared" si="14"/>
        <v>0.015503382011906073</v>
      </c>
      <c r="J46" s="41">
        <f t="shared" si="14"/>
        <v>0.018572312870950645</v>
      </c>
      <c r="K46" s="43">
        <f t="shared" si="14"/>
        <v>0.008729733781670987</v>
      </c>
      <c r="L46" s="41">
        <f t="shared" si="14"/>
        <v>0</v>
      </c>
      <c r="M46" s="41">
        <f t="shared" si="14"/>
        <v>0</v>
      </c>
      <c r="N46" s="41">
        <f t="shared" si="14"/>
        <v>0</v>
      </c>
      <c r="O46" s="41">
        <f t="shared" si="14"/>
        <v>0</v>
      </c>
      <c r="P46" s="41">
        <f t="shared" si="14"/>
        <v>0</v>
      </c>
    </row>
    <row r="47" spans="1:14" ht="11.25">
      <c r="A47" s="13" t="s">
        <v>40</v>
      </c>
      <c r="E47" s="4"/>
      <c r="F47" s="26"/>
      <c r="K47" s="27"/>
      <c r="L47" s="4"/>
      <c r="M47" s="4"/>
      <c r="N47" s="4"/>
    </row>
    <row r="48" spans="1:16" ht="11.25">
      <c r="A48" s="2" t="s">
        <v>41</v>
      </c>
      <c r="C48" s="37">
        <f aca="true" t="shared" si="15" ref="C48:P48">C25/(C12+C15)</f>
        <v>0.044073541139350234</v>
      </c>
      <c r="D48" s="37">
        <f t="shared" si="15"/>
        <v>0.04162223029855282</v>
      </c>
      <c r="E48" s="37">
        <f t="shared" si="15"/>
        <v>0.036145585033734565</v>
      </c>
      <c r="F48" s="38">
        <f t="shared" si="15"/>
        <v>0.06265189267916553</v>
      </c>
      <c r="G48" s="39">
        <f t="shared" si="15"/>
        <v>0.05550629889805821</v>
      </c>
      <c r="H48" s="39">
        <f t="shared" si="15"/>
        <v>0.051101773085989545</v>
      </c>
      <c r="I48" s="39">
        <f t="shared" si="15"/>
        <v>0.05128141419603774</v>
      </c>
      <c r="J48" s="39">
        <f t="shared" si="15"/>
        <v>0.044254360560633685</v>
      </c>
      <c r="K48" s="40">
        <f t="shared" si="15"/>
        <v>0.048904092852779475</v>
      </c>
      <c r="L48" s="37">
        <f t="shared" si="15"/>
        <v>0.050274840993954545</v>
      </c>
      <c r="M48" s="37">
        <f t="shared" si="15"/>
        <v>0.05249713915318934</v>
      </c>
      <c r="N48" s="37">
        <f t="shared" si="15"/>
        <v>0.07242240679447949</v>
      </c>
      <c r="O48" s="39">
        <f t="shared" si="15"/>
        <v>0.06126854686220043</v>
      </c>
      <c r="P48" s="39">
        <f t="shared" si="15"/>
        <v>0.06791236579198276</v>
      </c>
    </row>
    <row r="49" spans="1:16" ht="11.25">
      <c r="A49" s="3" t="s">
        <v>42</v>
      </c>
      <c r="B49" s="3"/>
      <c r="C49" s="41">
        <f>C25/C10</f>
        <v>0.03184061220144534</v>
      </c>
      <c r="D49" s="41">
        <f>D25/D10</f>
        <v>0.03504928439790086</v>
      </c>
      <c r="E49" s="41">
        <f>E25/E10</f>
        <v>0.030985662358905968</v>
      </c>
      <c r="F49" s="42">
        <f>F25/F12</f>
        <v>0.07242412938197593</v>
      </c>
      <c r="G49" s="41">
        <f>G25/G12</f>
        <v>0.06647087159365744</v>
      </c>
      <c r="H49" s="41">
        <f aca="true" t="shared" si="16" ref="H49:P49">H25/H10</f>
        <v>0.044595501095657616</v>
      </c>
      <c r="I49" s="41">
        <f t="shared" si="16"/>
        <v>0.04346711132694423</v>
      </c>
      <c r="J49" s="41">
        <f t="shared" si="16"/>
        <v>0.037063441881420536</v>
      </c>
      <c r="K49" s="43">
        <f t="shared" si="16"/>
        <v>0.03774218246140733</v>
      </c>
      <c r="L49" s="41">
        <f t="shared" si="16"/>
        <v>0.04255419032973502</v>
      </c>
      <c r="M49" s="41">
        <f t="shared" si="16"/>
        <v>0.04288457993350478</v>
      </c>
      <c r="N49" s="41">
        <f t="shared" si="16"/>
        <v>0.057874243167138885</v>
      </c>
      <c r="O49" s="41">
        <f t="shared" si="16"/>
        <v>0.0474191764627368</v>
      </c>
      <c r="P49" s="41">
        <f t="shared" si="16"/>
        <v>0.054510538830930697</v>
      </c>
    </row>
    <row r="50" spans="1:16" ht="11.25">
      <c r="A50" s="13" t="s">
        <v>43</v>
      </c>
      <c r="E50" s="4"/>
      <c r="F50" s="26"/>
      <c r="J50" s="44"/>
      <c r="K50" s="45"/>
      <c r="L50" s="46"/>
      <c r="M50" s="46"/>
      <c r="N50" s="46"/>
      <c r="O50" s="44"/>
      <c r="P50" s="44"/>
    </row>
    <row r="51" spans="1:16" ht="11.25">
      <c r="A51" s="2" t="s">
        <v>44</v>
      </c>
      <c r="C51" s="46">
        <f aca="true" t="shared" si="17" ref="C51:P51">C11/C16</f>
        <v>0.2522162045405857</v>
      </c>
      <c r="D51" s="46">
        <f t="shared" si="17"/>
        <v>0.12729896845139754</v>
      </c>
      <c r="E51" s="46">
        <f t="shared" si="17"/>
        <v>0.10780455824398534</v>
      </c>
      <c r="F51" s="47">
        <f t="shared" si="17"/>
        <v>0.10841052033740245</v>
      </c>
      <c r="G51" s="44">
        <f t="shared" si="17"/>
        <v>0.2121996697561381</v>
      </c>
      <c r="H51" s="44">
        <f t="shared" si="17"/>
        <v>0.099311304805146</v>
      </c>
      <c r="I51" s="44">
        <f t="shared" si="17"/>
        <v>0.12229479846782122</v>
      </c>
      <c r="J51" s="44">
        <f t="shared" si="17"/>
        <v>0.10643611718144191</v>
      </c>
      <c r="K51" s="45">
        <f t="shared" si="17"/>
        <v>0.13595621315678538</v>
      </c>
      <c r="L51" s="46">
        <f t="shared" si="17"/>
        <v>0.07603726331346203</v>
      </c>
      <c r="M51" s="46">
        <f t="shared" si="17"/>
        <v>0.10080972132285596</v>
      </c>
      <c r="N51" s="46">
        <f t="shared" si="17"/>
        <v>0.11069003564759804</v>
      </c>
      <c r="O51" s="44">
        <f t="shared" si="17"/>
        <v>0.15154506091848774</v>
      </c>
      <c r="P51" s="44">
        <f t="shared" si="17"/>
        <v>0.07144086900848456</v>
      </c>
    </row>
    <row r="52" spans="1:16" ht="11.25">
      <c r="A52" s="2" t="s">
        <v>45</v>
      </c>
      <c r="C52" s="46">
        <f aca="true" t="shared" si="18" ref="C52:P52">C11/C10</f>
        <v>0.22302518692934883</v>
      </c>
      <c r="D52" s="46">
        <f t="shared" si="18"/>
        <v>0.11313670859826275</v>
      </c>
      <c r="E52" s="46">
        <f t="shared" si="18"/>
        <v>0.09615557428054579</v>
      </c>
      <c r="F52" s="47">
        <f t="shared" si="18"/>
        <v>0.09486289687263018</v>
      </c>
      <c r="G52" s="44">
        <f t="shared" si="18"/>
        <v>0.1836812274624096</v>
      </c>
      <c r="H52" s="44">
        <f t="shared" si="18"/>
        <v>0.08879107118899615</v>
      </c>
      <c r="I52" s="44">
        <f t="shared" si="18"/>
        <v>0.11003483612650024</v>
      </c>
      <c r="J52" s="44">
        <f t="shared" si="18"/>
        <v>0.09469436131896038</v>
      </c>
      <c r="K52" s="45">
        <f t="shared" si="18"/>
        <v>0.12366376129430505</v>
      </c>
      <c r="L52" s="46">
        <f t="shared" si="18"/>
        <v>0.06776011612032258</v>
      </c>
      <c r="M52" s="46">
        <f t="shared" si="18"/>
        <v>0.09037126716148036</v>
      </c>
      <c r="N52" s="46">
        <f t="shared" si="18"/>
        <v>0.0976244212638064</v>
      </c>
      <c r="O52" s="44">
        <f t="shared" si="18"/>
        <v>0.13668497173202146</v>
      </c>
      <c r="P52" s="44">
        <f t="shared" si="18"/>
        <v>0.06311771619249751</v>
      </c>
    </row>
    <row r="53" spans="1:16" ht="11.25">
      <c r="A53" s="3" t="s">
        <v>46</v>
      </c>
      <c r="B53" s="3"/>
      <c r="C53" s="48">
        <f aca="true" t="shared" si="19" ref="C53:P53">(C11+C15)/C16</f>
        <v>0.40637941138457234</v>
      </c>
      <c r="D53" s="48">
        <f t="shared" si="19"/>
        <v>0.29356985063055807</v>
      </c>
      <c r="E53" s="48">
        <f t="shared" si="19"/>
        <v>0.24659752449008496</v>
      </c>
      <c r="F53" s="49">
        <f t="shared" si="19"/>
        <v>0.24092582334752033</v>
      </c>
      <c r="G53" s="48">
        <f t="shared" si="19"/>
        <v>0.35922393933040636</v>
      </c>
      <c r="H53" s="48">
        <f t="shared" si="19"/>
        <v>0.3130197547907833</v>
      </c>
      <c r="I53" s="48">
        <f t="shared" si="19"/>
        <v>0.351292741426931</v>
      </c>
      <c r="J53" s="48">
        <f t="shared" si="19"/>
        <v>0.33661107218746267</v>
      </c>
      <c r="K53" s="50">
        <f t="shared" si="19"/>
        <v>0.33908542442692174</v>
      </c>
      <c r="L53" s="48">
        <f t="shared" si="19"/>
        <v>0.30276798134271515</v>
      </c>
      <c r="M53" s="48">
        <f t="shared" si="19"/>
        <v>0.282683456133289</v>
      </c>
      <c r="N53" s="48">
        <f t="shared" si="19"/>
        <v>0.30206105358456403</v>
      </c>
      <c r="O53" s="48">
        <f t="shared" si="19"/>
        <v>0.33019128444791507</v>
      </c>
      <c r="P53" s="48">
        <f t="shared" si="19"/>
        <v>0.21811698687771364</v>
      </c>
    </row>
    <row r="54" spans="1:14" ht="11.25">
      <c r="A54" s="13" t="s">
        <v>47</v>
      </c>
      <c r="E54" s="4"/>
      <c r="F54" s="26"/>
      <c r="K54" s="27"/>
      <c r="L54" s="4"/>
      <c r="M54" s="4"/>
      <c r="N54" s="4"/>
    </row>
    <row r="55" spans="1:16" ht="11.25">
      <c r="A55" s="2" t="s">
        <v>48</v>
      </c>
      <c r="B55" s="4"/>
      <c r="C55" s="37">
        <f>(C40)/C28</f>
        <v>0.03124801362810033</v>
      </c>
      <c r="D55" s="37">
        <f>(D40/0.75)/D28</f>
        <v>0.042812069029938275</v>
      </c>
      <c r="E55" s="37">
        <f>(E40/0.5)/E28</f>
        <v>0.02915305952182308</v>
      </c>
      <c r="F55" s="38">
        <f>((F40)/0.25)/F28</f>
        <v>0.053781721035742525</v>
      </c>
      <c r="G55" s="51">
        <f>G40/G28</f>
        <v>0.025272942070081527</v>
      </c>
      <c r="H55" s="51">
        <f>(H40/0.75)/H28</f>
        <v>0.015084281223975751</v>
      </c>
      <c r="I55" s="39">
        <f>(I40/0.5)/I28</f>
        <v>-0.0009167163221341156</v>
      </c>
      <c r="J55" s="39">
        <f>((J40)/0.25)/J28</f>
        <v>-0.023681489221539776</v>
      </c>
      <c r="K55" s="52">
        <f>K40/K28</f>
        <v>0.0016306356866994747</v>
      </c>
      <c r="L55" s="51">
        <f>(L40/0.75)/L28</f>
        <v>0.010740400991999544</v>
      </c>
      <c r="M55" s="51">
        <f>(M40/0.5)/M28</f>
        <v>0.012707254583644296</v>
      </c>
      <c r="N55" s="37">
        <f>((N40)/0.25)/N28</f>
        <v>0.017273592502016773</v>
      </c>
      <c r="O55" s="39">
        <f>O40/O28</f>
        <v>0.012361874282953928</v>
      </c>
      <c r="P55" s="39">
        <f>P40/P28</f>
        <v>0.024632991040091475</v>
      </c>
    </row>
    <row r="56" spans="1:16" ht="11.25">
      <c r="A56" s="2" t="s">
        <v>49</v>
      </c>
      <c r="B56" s="4"/>
      <c r="C56" s="37">
        <f>(C40)/C27</f>
        <v>0.023484585016490804</v>
      </c>
      <c r="D56" s="37">
        <f>(D40/0.75)/D27</f>
        <v>0.03679385114464099</v>
      </c>
      <c r="E56" s="37">
        <f>(E40/0.5)/E27</f>
        <v>0.02484751248692896</v>
      </c>
      <c r="F56" s="38">
        <f>((F40)/0.25)/F27</f>
        <v>0.04564294556626421</v>
      </c>
      <c r="G56" s="51">
        <f>G40/G27</f>
        <v>0.019501403009883327</v>
      </c>
      <c r="H56" s="51">
        <f>(H40/0.75)/H27</f>
        <v>0.012965083867939322</v>
      </c>
      <c r="I56" s="39">
        <f>(I40/0.5)/I27</f>
        <v>-0.0007633223605744001</v>
      </c>
      <c r="J56" s="39">
        <f>((J40)/0.25)/J27</f>
        <v>-0.019373103455683015</v>
      </c>
      <c r="K56" s="52">
        <f>K40/K27</f>
        <v>0.0012602972710893312</v>
      </c>
      <c r="L56" s="51">
        <f>(L40/0.75)/L27</f>
        <v>0.009031450243948972</v>
      </c>
      <c r="M56" s="51">
        <f>(M40/0.5)/M27</f>
        <v>0.010455685833102793</v>
      </c>
      <c r="N56" s="37">
        <f>((N40)/0.25)/N27</f>
        <v>0.01363623754580776</v>
      </c>
      <c r="O56" s="39">
        <f>O40/O27</f>
        <v>0.009745218874712233</v>
      </c>
      <c r="P56" s="39">
        <f>P40/P27</f>
        <v>0.019328148568512612</v>
      </c>
    </row>
    <row r="57" spans="1:16" ht="11.25">
      <c r="A57" s="2" t="s">
        <v>50</v>
      </c>
      <c r="B57" s="4"/>
      <c r="C57" s="37">
        <f>(C40)/C31</f>
        <v>0.6122855671986316</v>
      </c>
      <c r="D57" s="37">
        <f>(D40/0.75)/D31</f>
        <v>0.9093686597445997</v>
      </c>
      <c r="E57" s="37">
        <f>(E40/0.5)/E31</f>
        <v>0.6646852018546511</v>
      </c>
      <c r="F57" s="38">
        <f>((F40)/0.25)/F31</f>
        <v>1.0003020567317462</v>
      </c>
      <c r="G57" s="51">
        <f>+G40/G31</f>
        <v>0.4817167381974249</v>
      </c>
      <c r="H57" s="51">
        <f>(H40/0.75)/H31</f>
        <v>0.29756042917744235</v>
      </c>
      <c r="I57" s="39">
        <f>(I40/0.5)/I31</f>
        <v>-0.01767617251944379</v>
      </c>
      <c r="J57" s="39">
        <f>((J40)/0.25)/J31</f>
        <v>-0.4069812197226093</v>
      </c>
      <c r="K57" s="52">
        <f>+K40/K31</f>
        <v>0.029508243686525045</v>
      </c>
      <c r="L57" s="51">
        <f>(L40/0.75)/L31</f>
        <v>0.20893864546490895</v>
      </c>
      <c r="M57" s="51">
        <f>(M40/0.5)/M31</f>
        <v>0.2481668469768001</v>
      </c>
      <c r="N57" s="37">
        <f>((N40)/0.25)/N31</f>
        <v>0.263395503670938</v>
      </c>
      <c r="O57" s="39">
        <f>O40/O31</f>
        <v>0.19119552655234004</v>
      </c>
      <c r="P57" s="39">
        <f>P40/P31</f>
        <v>0.36216281310211945</v>
      </c>
    </row>
    <row r="58" spans="1:16" ht="11.25">
      <c r="A58" s="2" t="s">
        <v>51</v>
      </c>
      <c r="B58" s="4"/>
      <c r="C58" s="37">
        <f>(C33)/C28</f>
        <v>0.08399757609658323</v>
      </c>
      <c r="D58" s="37">
        <f>(D33/0.75)/D28</f>
        <v>0.08703105470708855</v>
      </c>
      <c r="E58" s="37">
        <f>(E33/0.5)/E28</f>
        <v>0.08894901194250435</v>
      </c>
      <c r="F58" s="38">
        <f>((F33)/0.25)/F28</f>
        <v>0.09536260363293843</v>
      </c>
      <c r="G58" s="51">
        <f>G33/G28</f>
        <v>0.10733044416790384</v>
      </c>
      <c r="H58" s="51">
        <f>(H33/0.75)/H28</f>
        <v>0.10881737664953463</v>
      </c>
      <c r="I58" s="39">
        <f>(I33/0.5)/I28</f>
        <v>0.11516707154970894</v>
      </c>
      <c r="J58" s="39">
        <f>((J33)/0.25)/J28</f>
        <v>0.12239246059971379</v>
      </c>
      <c r="K58" s="52">
        <f>K33/K28</f>
        <v>0.12638218142642627</v>
      </c>
      <c r="L58" s="51">
        <f>(L33/0.75)/L28</f>
        <v>0.11980725978783151</v>
      </c>
      <c r="M58" s="51">
        <f>(M33/0.5)/M28</f>
        <v>0.12262854592876982</v>
      </c>
      <c r="N58" s="37">
        <f>((N33)/0.25)/N28</f>
        <v>0.12316406398944924</v>
      </c>
      <c r="O58" s="39">
        <f>O33/O28</f>
        <v>0.11859036290079102</v>
      </c>
      <c r="P58" s="39">
        <f>P33/P27</f>
        <v>0.09354042400587673</v>
      </c>
    </row>
    <row r="59" spans="1:16" ht="11.25">
      <c r="A59" s="2" t="s">
        <v>52</v>
      </c>
      <c r="B59" s="4"/>
      <c r="C59" s="37">
        <f>(C34)/C28</f>
        <v>0.02121000241542823</v>
      </c>
      <c r="D59" s="37">
        <f>(D34/0.75)/D28</f>
        <v>0.023495058514303887</v>
      </c>
      <c r="E59" s="37">
        <f>(E34/0.5)/E28</f>
        <v>0.023357607685156493</v>
      </c>
      <c r="F59" s="38">
        <f>((F34)/0.25)/F28</f>
        <v>0.025311129500295647</v>
      </c>
      <c r="G59" s="51">
        <f>G34/G28</f>
        <v>0.04256290089422022</v>
      </c>
      <c r="H59" s="51">
        <f>(H34/0.75)/H28</f>
        <v>0.04572885673660948</v>
      </c>
      <c r="I59" s="39">
        <f>(I34/0.5)/I28</f>
        <v>0.05084414294663183</v>
      </c>
      <c r="J59" s="39">
        <f>((J34)/0.25)/J28</f>
        <v>0.05518472781810417</v>
      </c>
      <c r="K59" s="52">
        <f>K34/K28</f>
        <v>0.059027428717077585</v>
      </c>
      <c r="L59" s="51">
        <f>(L34/0.75)/L28</f>
        <v>0.05500022914257852</v>
      </c>
      <c r="M59" s="51">
        <f>(M34/0.5)/M28</f>
        <v>0.05551614566102191</v>
      </c>
      <c r="N59" s="37">
        <f>((N34)/0.25)/N28</f>
        <v>0.05500873623304995</v>
      </c>
      <c r="O59" s="39">
        <f>O34/O28</f>
        <v>0.05339955316707928</v>
      </c>
      <c r="P59" s="39">
        <f>P34/P27</f>
        <v>0.043718094640703</v>
      </c>
    </row>
    <row r="60" spans="1:16" ht="11.25">
      <c r="A60" s="2" t="s">
        <v>53</v>
      </c>
      <c r="B60" s="4"/>
      <c r="C60" s="37">
        <f>(C35)/C28</f>
        <v>0.06278757368115499</v>
      </c>
      <c r="D60" s="37">
        <f>(D35/0.75)/D28</f>
        <v>0.06353599619278467</v>
      </c>
      <c r="E60" s="37">
        <f>(E35/0.5)/E28</f>
        <v>0.06559140425734786</v>
      </c>
      <c r="F60" s="38">
        <f>((F35)/0.25)/F28</f>
        <v>0.07005147413264277</v>
      </c>
      <c r="G60" s="51">
        <f>G35/G28</f>
        <v>0.06476754327368363</v>
      </c>
      <c r="H60" s="51">
        <f>(H35/0.75)/H28</f>
        <v>0.06308851991292516</v>
      </c>
      <c r="I60" s="39">
        <f>(I35/0.5)/I28</f>
        <v>0.06432292860307712</v>
      </c>
      <c r="J60" s="39">
        <f>((J35)/0.25)/J28</f>
        <v>0.06720773278160962</v>
      </c>
      <c r="K60" s="52">
        <f>K35/K28</f>
        <v>0.06735475270934868</v>
      </c>
      <c r="L60" s="51">
        <f>(L35/0.75)/L28</f>
        <v>0.06480703064525298</v>
      </c>
      <c r="M60" s="51">
        <f>(M35/0.5)/M28</f>
        <v>0.06711240026774792</v>
      </c>
      <c r="N60" s="37">
        <f>((N35)/0.25)/N28</f>
        <v>0.06815532775639928</v>
      </c>
      <c r="O60" s="39">
        <f>O35/O28</f>
        <v>0.06519080973371173</v>
      </c>
      <c r="P60" s="39">
        <f>P35/P27</f>
        <v>0.04982232936517373</v>
      </c>
    </row>
    <row r="61" spans="1:16" ht="11.25">
      <c r="A61" s="2" t="s">
        <v>54</v>
      </c>
      <c r="B61" s="4"/>
      <c r="C61" s="37">
        <f>(C38)/(C37)</f>
        <v>0.5176887450477093</v>
      </c>
      <c r="D61" s="37">
        <f>(D38/0.75)/(D37/0.75)</f>
        <v>0.44392170329670333</v>
      </c>
      <c r="E61" s="37">
        <f>(E38/0.5)/(E37/0.5)</f>
        <v>0.47092482862786106</v>
      </c>
      <c r="F61" s="38">
        <f>(F38/0.25)/(F37/0.25)</f>
        <v>0.4016414597635885</v>
      </c>
      <c r="G61" s="51">
        <f>G38/G37</f>
        <v>0.4766524363315177</v>
      </c>
      <c r="H61" s="51">
        <f>(H38/0.75)/(H37/0.75)</f>
        <v>0.5328092309643061</v>
      </c>
      <c r="I61" s="39">
        <f>(I38/0.5)/(I37/0.5)</f>
        <v>0.5896144368749094</v>
      </c>
      <c r="J61" s="39">
        <f>(J38/0.25)/(J37/0.25)</f>
        <v>0.6246995192307693</v>
      </c>
      <c r="K61" s="52">
        <f>K38/K37</f>
        <v>0.5424066011121439</v>
      </c>
      <c r="L61" s="51">
        <f>(L38/0.75)/(L37/0.75)</f>
        <v>0.5278806497769548</v>
      </c>
      <c r="M61" s="51">
        <f>(M38/0.5)/(M37/0.5)</f>
        <v>0.505836805863404</v>
      </c>
      <c r="N61" s="37">
        <f>(N38/0.25)/(N37/0.25)</f>
        <v>0.5906872995957061</v>
      </c>
      <c r="O61" s="39">
        <f>O38/O37</f>
        <v>0.5554775912632015</v>
      </c>
      <c r="P61" s="39">
        <f>P38/P37</f>
        <v>0.6052306679287214</v>
      </c>
    </row>
    <row r="62" spans="1:16" ht="11.25">
      <c r="A62" s="3" t="s">
        <v>55</v>
      </c>
      <c r="B62" s="3"/>
      <c r="C62" s="41">
        <f>(C36)/C28</f>
        <v>0.05871948403062933</v>
      </c>
      <c r="D62" s="41">
        <f>(D36/0.75)/D28</f>
        <v>0.06735669635294504</v>
      </c>
      <c r="E62" s="41">
        <f>(E36/0.5)/E28</f>
        <v>0.03699256275178184</v>
      </c>
      <c r="F62" s="42">
        <f>(F36/0.25)/F28</f>
        <v>0.04435648475891754</v>
      </c>
      <c r="G62" s="53">
        <f>G36/G28</f>
        <v>0.03720388431129131</v>
      </c>
      <c r="H62" s="53">
        <f>(H36/0.75)/H28</f>
        <v>0.030373978874204413</v>
      </c>
      <c r="I62" s="41">
        <f>(I36/0.5)/I28</f>
        <v>0.0200027501489664</v>
      </c>
      <c r="J62" s="41">
        <f>(J36/0.25)/J28</f>
        <v>0.015038023679944642</v>
      </c>
      <c r="K62" s="54">
        <f>K36/K28</f>
        <v>0.02972823002411916</v>
      </c>
      <c r="L62" s="53">
        <f>(L36/0.75)/L28</f>
        <v>0.030404089806861608</v>
      </c>
      <c r="M62" s="53">
        <f>(M36/0.5)/M28</f>
        <v>0.03702307402306633</v>
      </c>
      <c r="N62" s="41">
        <f>(N36/0.25)/N28</f>
        <v>0.017650405634851627</v>
      </c>
      <c r="O62" s="41">
        <f>O36/O28</f>
        <v>0.018712638125717045</v>
      </c>
      <c r="P62" s="41">
        <f>P36/P27</f>
        <v>0.012644210777978225</v>
      </c>
    </row>
    <row r="63" spans="1:14" ht="11.25">
      <c r="A63" s="13" t="s">
        <v>56</v>
      </c>
      <c r="E63" s="4"/>
      <c r="F63" s="26"/>
      <c r="K63" s="27"/>
      <c r="L63" s="4"/>
      <c r="M63" s="4"/>
      <c r="N63" s="4"/>
    </row>
    <row r="64" spans="1:16" ht="11.25">
      <c r="A64" s="2" t="s">
        <v>57</v>
      </c>
      <c r="C64" s="19">
        <v>413</v>
      </c>
      <c r="D64" s="19">
        <v>439</v>
      </c>
      <c r="E64" s="4">
        <v>430</v>
      </c>
      <c r="F64" s="21">
        <v>420</v>
      </c>
      <c r="G64" s="19">
        <v>424</v>
      </c>
      <c r="H64" s="19">
        <v>432</v>
      </c>
      <c r="I64" s="19">
        <v>433</v>
      </c>
      <c r="J64" s="19">
        <v>431</v>
      </c>
      <c r="K64" s="22">
        <v>453</v>
      </c>
      <c r="L64" s="20">
        <v>377</v>
      </c>
      <c r="M64" s="20">
        <v>327</v>
      </c>
      <c r="N64" s="20">
        <v>322</v>
      </c>
      <c r="O64" s="19">
        <v>318</v>
      </c>
      <c r="P64" s="19">
        <v>321</v>
      </c>
    </row>
    <row r="65" spans="1:16" ht="11.25">
      <c r="A65" s="2" t="s">
        <v>58</v>
      </c>
      <c r="C65" s="19">
        <v>8</v>
      </c>
      <c r="D65" s="19">
        <v>8</v>
      </c>
      <c r="E65" s="4">
        <v>8</v>
      </c>
      <c r="F65" s="21">
        <v>8</v>
      </c>
      <c r="G65" s="19">
        <v>8</v>
      </c>
      <c r="H65" s="19">
        <v>7</v>
      </c>
      <c r="I65" s="19">
        <v>7</v>
      </c>
      <c r="J65" s="19">
        <v>7</v>
      </c>
      <c r="K65" s="22">
        <v>9</v>
      </c>
      <c r="L65" s="20">
        <v>9</v>
      </c>
      <c r="M65" s="20">
        <v>9</v>
      </c>
      <c r="N65" s="20">
        <v>9</v>
      </c>
      <c r="O65" s="19">
        <v>9</v>
      </c>
      <c r="P65" s="19">
        <v>9</v>
      </c>
    </row>
    <row r="66" spans="1:16" ht="11.25">
      <c r="A66" s="2" t="s">
        <v>59</v>
      </c>
      <c r="C66" s="20">
        <f aca="true" t="shared" si="20" ref="C66:P66">C12/C64</f>
        <v>906.4939467312348</v>
      </c>
      <c r="D66" s="20">
        <f t="shared" si="20"/>
        <v>945.7107061503417</v>
      </c>
      <c r="E66" s="20">
        <f t="shared" si="20"/>
        <v>1309.7023255813954</v>
      </c>
      <c r="F66" s="21">
        <f t="shared" si="20"/>
        <v>1442.4619047619049</v>
      </c>
      <c r="G66" s="19">
        <f t="shared" si="20"/>
        <v>1414.9693396226414</v>
      </c>
      <c r="H66" s="19">
        <f t="shared" si="20"/>
        <v>1234.8425925925926</v>
      </c>
      <c r="I66" s="19">
        <f t="shared" si="20"/>
        <v>1196.0438799076212</v>
      </c>
      <c r="J66" s="19">
        <f t="shared" si="20"/>
        <v>1146.9559164733178</v>
      </c>
      <c r="K66" s="22">
        <f t="shared" si="20"/>
        <v>1030.7064017660043</v>
      </c>
      <c r="L66" s="20">
        <f t="shared" si="20"/>
        <v>1347.129973474801</v>
      </c>
      <c r="M66" s="20">
        <f t="shared" si="20"/>
        <v>1529.388379204893</v>
      </c>
      <c r="N66" s="20">
        <f t="shared" si="20"/>
        <v>1569.055900621118</v>
      </c>
      <c r="O66" s="19">
        <f t="shared" si="20"/>
        <v>1617.0786163522012</v>
      </c>
      <c r="P66" s="19">
        <f t="shared" si="20"/>
        <v>1764.4704049844236</v>
      </c>
    </row>
    <row r="67" spans="1:16" ht="11.25">
      <c r="A67" s="2" t="s">
        <v>60</v>
      </c>
      <c r="C67" s="20">
        <f aca="true" t="shared" si="21" ref="C67:P67">C16/C64</f>
        <v>1367.5956416464892</v>
      </c>
      <c r="D67" s="20">
        <f t="shared" si="21"/>
        <v>1210.5558086560363</v>
      </c>
      <c r="E67" s="20">
        <f t="shared" si="21"/>
        <v>1592.7186046511629</v>
      </c>
      <c r="F67" s="21">
        <f t="shared" si="21"/>
        <v>1697.845238095238</v>
      </c>
      <c r="G67" s="19">
        <f t="shared" si="21"/>
        <v>1901.1108490566037</v>
      </c>
      <c r="H67" s="19">
        <f t="shared" si="21"/>
        <v>1619.7430555555557</v>
      </c>
      <c r="I67" s="19">
        <f t="shared" si="21"/>
        <v>1677.3348729792149</v>
      </c>
      <c r="J67" s="19">
        <f t="shared" si="21"/>
        <v>1612.7447795823666</v>
      </c>
      <c r="K67" s="22">
        <f t="shared" si="21"/>
        <v>1597.141280353201</v>
      </c>
      <c r="L67" s="20">
        <f t="shared" si="21"/>
        <v>1863.0053050397878</v>
      </c>
      <c r="M67" s="20">
        <f t="shared" si="21"/>
        <v>2096.8440366972477</v>
      </c>
      <c r="N67" s="20">
        <f t="shared" si="21"/>
        <v>2195.4037267080744</v>
      </c>
      <c r="O67" s="19">
        <f t="shared" si="21"/>
        <v>2379.9716981132074</v>
      </c>
      <c r="P67" s="19">
        <f t="shared" si="21"/>
        <v>2316.0996884735205</v>
      </c>
    </row>
    <row r="68" spans="1:16" ht="11.25">
      <c r="A68" s="3" t="s">
        <v>61</v>
      </c>
      <c r="B68" s="3"/>
      <c r="C68" s="23">
        <f aca="true" t="shared" si="22" ref="C68:P68">(C40/C64)</f>
        <v>44.63680387409201</v>
      </c>
      <c r="D68" s="23">
        <f t="shared" si="22"/>
        <v>43.391799544419136</v>
      </c>
      <c r="E68" s="23">
        <f t="shared" si="22"/>
        <v>22.753488372093024</v>
      </c>
      <c r="F68" s="24">
        <f t="shared" si="22"/>
        <v>21.683333333333334</v>
      </c>
      <c r="G68" s="35">
        <f t="shared" si="22"/>
        <v>39.70754716981132</v>
      </c>
      <c r="H68" s="35">
        <f t="shared" si="22"/>
        <v>17.67824074074074</v>
      </c>
      <c r="I68" s="35">
        <f t="shared" si="22"/>
        <v>-0.6928406466512702</v>
      </c>
      <c r="J68" s="35">
        <f t="shared" si="22"/>
        <v>-8.893271461716937</v>
      </c>
      <c r="K68" s="36">
        <f t="shared" si="22"/>
        <v>2.273730684326711</v>
      </c>
      <c r="L68" s="35">
        <f t="shared" si="22"/>
        <v>14.220159151193634</v>
      </c>
      <c r="M68" s="35">
        <f t="shared" si="22"/>
        <v>12.62691131498471</v>
      </c>
      <c r="N68" s="35">
        <f t="shared" si="22"/>
        <v>8.968944099378882</v>
      </c>
      <c r="O68" s="23">
        <f t="shared" si="22"/>
        <v>25.751572327044027</v>
      </c>
      <c r="P68" s="23">
        <f t="shared" si="22"/>
        <v>46.84423676012461</v>
      </c>
    </row>
    <row r="69" spans="1:14" ht="11.25">
      <c r="A69" s="13" t="s">
        <v>62</v>
      </c>
      <c r="E69" s="4"/>
      <c r="F69" s="26"/>
      <c r="K69" s="27"/>
      <c r="L69" s="4"/>
      <c r="M69" s="4"/>
      <c r="N69" s="4"/>
    </row>
    <row r="70" spans="1:16" ht="11.25">
      <c r="A70" s="2" t="s">
        <v>63</v>
      </c>
      <c r="C70" s="37">
        <f aca="true" t="shared" si="23" ref="C70:K70">(C10/G10)-1</f>
        <v>-0.31407977904302087</v>
      </c>
      <c r="D70" s="37">
        <f t="shared" si="23"/>
        <v>-0.23596823551208412</v>
      </c>
      <c r="E70" s="37">
        <f t="shared" si="23"/>
        <v>-0.04877181593839508</v>
      </c>
      <c r="F70" s="38">
        <f t="shared" si="23"/>
        <v>0.043072795738286596</v>
      </c>
      <c r="G70" s="39">
        <f t="shared" si="23"/>
        <v>0.17072551334321484</v>
      </c>
      <c r="H70" s="39">
        <f t="shared" si="23"/>
        <v>-0.006994879134375798</v>
      </c>
      <c r="I70" s="39">
        <f t="shared" si="23"/>
        <v>0.055357336634996646</v>
      </c>
      <c r="J70" s="39">
        <f t="shared" si="23"/>
        <v>-0.02526290311915569</v>
      </c>
      <c r="K70" s="40">
        <f t="shared" si="23"/>
        <v>-0.052065755226954225</v>
      </c>
      <c r="L70" s="37">
        <f>(L10/794765)-1</f>
        <v>-0.008325731505539391</v>
      </c>
      <c r="M70" s="37">
        <f>(M10/814752)-1</f>
        <v>-0.06122722006205572</v>
      </c>
      <c r="N70" s="37">
        <f>(N10/892778)-1</f>
        <v>-0.1022056995132048</v>
      </c>
      <c r="O70" s="39">
        <f>(O10/P10)-1</f>
        <v>-0.002846084465132237</v>
      </c>
      <c r="P70" s="39">
        <f>(P10/714462)-1</f>
        <v>0.17781911424260488</v>
      </c>
    </row>
    <row r="71" spans="1:16" ht="11.25">
      <c r="A71" s="2" t="s">
        <v>64</v>
      </c>
      <c r="C71" s="37">
        <f aca="true" t="shared" si="24" ref="C71:I73">(C12/G12)-1</f>
        <v>-0.3759748777808707</v>
      </c>
      <c r="D71" s="37">
        <f t="shared" si="24"/>
        <v>-0.22173503895383273</v>
      </c>
      <c r="E71" s="37">
        <f t="shared" si="24"/>
        <v>0.08744185507649349</v>
      </c>
      <c r="F71" s="38">
        <f t="shared" si="24"/>
        <v>0.22554608385355768</v>
      </c>
      <c r="G71" s="39">
        <f t="shared" si="24"/>
        <v>0.2849307146987643</v>
      </c>
      <c r="H71" s="39">
        <f t="shared" si="24"/>
        <v>0.05037529436782795</v>
      </c>
      <c r="I71" s="39">
        <f t="shared" si="24"/>
        <v>0.035546179840435066</v>
      </c>
      <c r="J71" s="39">
        <f>J12/N12-1</f>
        <v>-0.02157011772716122</v>
      </c>
      <c r="K71" s="40">
        <f>(K12/O12)-1</f>
        <v>-0.09202284576386877</v>
      </c>
      <c r="L71" s="37">
        <f>L12/548648-1</f>
        <v>-0.07432816669339903</v>
      </c>
      <c r="M71" s="37">
        <f>M12/547884-1</f>
        <v>-0.08719728993728604</v>
      </c>
      <c r="N71" s="37">
        <f>N12/568504-1</f>
        <v>-0.1112885749264737</v>
      </c>
      <c r="O71" s="39">
        <f>(O12/P12)-1</f>
        <v>-0.09209827064151344</v>
      </c>
      <c r="P71" s="39">
        <f>P12/419651-1</f>
        <v>0.34968104448696646</v>
      </c>
    </row>
    <row r="72" spans="2:16" ht="11.25">
      <c r="B72" s="2" t="s">
        <v>15</v>
      </c>
      <c r="C72" s="37">
        <f t="shared" si="24"/>
        <v>-0.3738876522501158</v>
      </c>
      <c r="D72" s="37">
        <f t="shared" si="24"/>
        <v>-0.21781128008802209</v>
      </c>
      <c r="E72" s="37">
        <f t="shared" si="24"/>
        <v>0.08744815441295728</v>
      </c>
      <c r="F72" s="38">
        <f t="shared" si="24"/>
        <v>0.22562953042401634</v>
      </c>
      <c r="G72" s="39">
        <f t="shared" si="24"/>
        <v>0.28115485564304454</v>
      </c>
      <c r="H72" s="39">
        <f t="shared" si="24"/>
        <v>0.055871411804491844</v>
      </c>
      <c r="I72" s="39">
        <f t="shared" si="24"/>
        <v>0.053007844428991424</v>
      </c>
      <c r="J72" s="39">
        <f>(J13/N13)-1</f>
        <v>-0.0069551730857704275</v>
      </c>
      <c r="K72" s="40">
        <f>(K13/O13)-1</f>
        <v>-0.028617513918518078</v>
      </c>
      <c r="L72" s="37">
        <f>(L13/499582)-1</f>
        <v>0.006221200923972381</v>
      </c>
      <c r="M72" s="37">
        <f>(M13/495177)-1</f>
        <v>-0.0067915109142790975</v>
      </c>
      <c r="N72" s="37">
        <f>(N13/485775)-1</f>
        <v>0.024669857444290066</v>
      </c>
      <c r="O72" s="39">
        <f>(O13/P13)-1</f>
        <v>-0.02976093115487677</v>
      </c>
      <c r="P72" s="39">
        <f>(P13/349581)-1</f>
        <v>0.41659014648965487</v>
      </c>
    </row>
    <row r="73" spans="2:16" ht="11.25">
      <c r="B73" s="2" t="s">
        <v>16</v>
      </c>
      <c r="C73" s="37">
        <f t="shared" si="24"/>
        <v>-1</v>
      </c>
      <c r="D73" s="37">
        <f t="shared" si="24"/>
        <v>-1</v>
      </c>
      <c r="E73" s="37">
        <f t="shared" si="24"/>
        <v>-1</v>
      </c>
      <c r="F73" s="38">
        <f t="shared" si="24"/>
        <v>-0.7804878048780488</v>
      </c>
      <c r="G73" s="39">
        <f t="shared" si="24"/>
        <v>9.81081081081081</v>
      </c>
      <c r="H73" s="39">
        <f t="shared" si="24"/>
        <v>-0.4831981460023175</v>
      </c>
      <c r="I73" s="39">
        <f t="shared" si="24"/>
        <v>-0.9996383799421408</v>
      </c>
      <c r="J73" s="39">
        <f>(J14/N14)-1</f>
        <v>-0.9945165173197806</v>
      </c>
      <c r="K73" s="40">
        <f>(K14/O14)-1</f>
        <v>-0.9945194928309041</v>
      </c>
      <c r="L73" s="37">
        <f>(L14/49066)-1</f>
        <v>-0.8944686748461257</v>
      </c>
      <c r="M73" s="37">
        <f>(M14/52707)-1</f>
        <v>-0.8426015519760184</v>
      </c>
      <c r="N73" s="37">
        <f>(N14/82729)-1</f>
        <v>-0.9096205683617595</v>
      </c>
      <c r="O73" s="39">
        <f>(O14/P14)-1</f>
        <v>-0.5257789890702707</v>
      </c>
      <c r="P73" s="39">
        <f>(P14/70070)-1</f>
        <v>0.01586984444127304</v>
      </c>
    </row>
    <row r="74" spans="1:16" ht="11.25">
      <c r="A74" s="2" t="s">
        <v>65</v>
      </c>
      <c r="C74" s="37">
        <f aca="true" t="shared" si="25" ref="C74:K75">(C16/G16)-1</f>
        <v>-0.2992962158420288</v>
      </c>
      <c r="D74" s="37">
        <f t="shared" si="25"/>
        <v>-0.24051454205842548</v>
      </c>
      <c r="E74" s="37">
        <f t="shared" si="25"/>
        <v>-0.05702574467909338</v>
      </c>
      <c r="F74" s="38">
        <f t="shared" si="25"/>
        <v>0.025898692692920333</v>
      </c>
      <c r="G74" s="39">
        <f t="shared" si="25"/>
        <v>0.11411946012812635</v>
      </c>
      <c r="H74" s="39">
        <f t="shared" si="25"/>
        <v>-0.0037360130874360964</v>
      </c>
      <c r="I74" s="39">
        <f t="shared" si="25"/>
        <v>0.05923858193761422</v>
      </c>
      <c r="J74" s="39">
        <f t="shared" si="25"/>
        <v>-0.016730323091721844</v>
      </c>
      <c r="K74" s="40">
        <f t="shared" si="25"/>
        <v>-0.044033608559903015</v>
      </c>
      <c r="L74" s="37">
        <f>L16/711561-1</f>
        <v>-0.012940563071894062</v>
      </c>
      <c r="M74" s="37">
        <f>M16/736268-1</f>
        <v>-0.06872497514492004</v>
      </c>
      <c r="N74" s="37">
        <f>N16/804863-1</f>
        <v>-0.12168903279191612</v>
      </c>
      <c r="O74" s="39">
        <f>(O16/P16)-1</f>
        <v>0.017973873791474526</v>
      </c>
      <c r="P74" s="39">
        <f>P16/635035-1</f>
        <v>0.17075121843677898</v>
      </c>
    </row>
    <row r="75" spans="2:16" ht="11.25">
      <c r="B75" s="2" t="s">
        <v>15</v>
      </c>
      <c r="C75" s="37">
        <f t="shared" si="25"/>
        <v>-0.09043722693334488</v>
      </c>
      <c r="D75" s="37">
        <f t="shared" si="25"/>
        <v>-0.08249422016891417</v>
      </c>
      <c r="E75" s="37">
        <f t="shared" si="25"/>
        <v>0.01926854060446037</v>
      </c>
      <c r="F75" s="38">
        <f t="shared" si="25"/>
        <v>0.04232945625087692</v>
      </c>
      <c r="G75" s="39">
        <f t="shared" si="25"/>
        <v>0.05861317260649912</v>
      </c>
      <c r="H75" s="39">
        <f t="shared" si="25"/>
        <v>0.07607562617374608</v>
      </c>
      <c r="I75" s="39">
        <f t="shared" si="25"/>
        <v>0.039105698583559834</v>
      </c>
      <c r="J75" s="39">
        <f t="shared" si="25"/>
        <v>-0.06847129794048823</v>
      </c>
      <c r="K75" s="40">
        <f t="shared" si="25"/>
        <v>0.04953697113814681</v>
      </c>
      <c r="L75" s="37">
        <f>(L17/497285)-1</f>
        <v>-0.047005238444755015</v>
      </c>
      <c r="M75" s="37">
        <f>(M17/489508)-1</f>
        <v>-0.029074090719661383</v>
      </c>
      <c r="N75" s="37">
        <f>(N17/530142)-1</f>
        <v>-0.09070400006036117</v>
      </c>
      <c r="O75" s="39">
        <f>(O17/P17)-1</f>
        <v>-0.009988726416658378</v>
      </c>
      <c r="P75" s="39">
        <f>(P17/399099)-1</f>
        <v>0.20908346049476445</v>
      </c>
    </row>
    <row r="76" spans="2:16" ht="11.25">
      <c r="B76" s="2" t="s">
        <v>16</v>
      </c>
      <c r="C76" s="37">
        <f aca="true" t="shared" si="26" ref="C76:K76">(C21/G21)-1</f>
        <v>-0.701984060676949</v>
      </c>
      <c r="D76" s="37">
        <f t="shared" si="26"/>
        <v>-0.6651665735695541</v>
      </c>
      <c r="E76" s="37">
        <f t="shared" si="26"/>
        <v>-0.21913829897084636</v>
      </c>
      <c r="F76" s="38">
        <f t="shared" si="26"/>
        <v>-0.004088699582188604</v>
      </c>
      <c r="G76" s="39">
        <f t="shared" si="26"/>
        <v>0.2394154405805975</v>
      </c>
      <c r="H76" s="39">
        <f t="shared" si="26"/>
        <v>-0.1693070043730821</v>
      </c>
      <c r="I76" s="39">
        <f t="shared" si="26"/>
        <v>0.10471881060116361</v>
      </c>
      <c r="J76" s="39">
        <f t="shared" si="26"/>
        <v>0.09419026611640824</v>
      </c>
      <c r="K76" s="40">
        <f t="shared" si="26"/>
        <v>-0.2041905075831133</v>
      </c>
      <c r="L76" s="37">
        <f>(L21/214276)-1</f>
        <v>0.06611566391009727</v>
      </c>
      <c r="M76" s="37">
        <f>(M21/246760)-1</f>
        <v>-0.14738207164856543</v>
      </c>
      <c r="N76" s="37">
        <f>(N21/274722)-1</f>
        <v>-0.18148528330457703</v>
      </c>
      <c r="O76" s="39">
        <f>(O21/P21)-1</f>
        <v>0.06968695865462737</v>
      </c>
      <c r="P76" s="39">
        <f>(P21/235936)-1</f>
        <v>0.10591007730910085</v>
      </c>
    </row>
    <row r="77" spans="1:16" ht="11.25">
      <c r="A77" s="2" t="s">
        <v>66</v>
      </c>
      <c r="C77" s="37">
        <f aca="true" t="shared" si="27" ref="C77:K77">(C25/G25)-1</f>
        <v>-0.49000727199779337</v>
      </c>
      <c r="D77" s="37">
        <f t="shared" si="27"/>
        <v>-0.3995186522262335</v>
      </c>
      <c r="E77" s="37">
        <f t="shared" si="27"/>
        <v>-0.32191409923903436</v>
      </c>
      <c r="F77" s="38">
        <f t="shared" si="27"/>
        <v>0.5152467451738785</v>
      </c>
      <c r="G77" s="39">
        <f t="shared" si="27"/>
        <v>0.32837014090136907</v>
      </c>
      <c r="H77" s="39">
        <f t="shared" si="27"/>
        <v>0.04063925579176475</v>
      </c>
      <c r="I77" s="39">
        <f t="shared" si="27"/>
        <v>0.06969299716472066</v>
      </c>
      <c r="J77" s="39">
        <f t="shared" si="27"/>
        <v>-0.3757652841252048</v>
      </c>
      <c r="K77" s="40">
        <f t="shared" si="27"/>
        <v>-0.24551394822819805</v>
      </c>
      <c r="L77" s="37">
        <f>(L25/34883)-1</f>
        <v>-0.0385287962617894</v>
      </c>
      <c r="M77" s="37">
        <f>(M25/33751)-1</f>
        <v>-0.02814731415365468</v>
      </c>
      <c r="N77" s="37">
        <f>(N25/41328)-1</f>
        <v>0.1224351529229577</v>
      </c>
      <c r="O77" s="39">
        <f>(O25/P25)-1</f>
        <v>-0.13256741732249133</v>
      </c>
      <c r="P77" s="39">
        <f>(P25/37169)-1</f>
        <v>0.2341198310419974</v>
      </c>
    </row>
    <row r="78" spans="1:16" ht="11.25">
      <c r="A78" s="3" t="s">
        <v>67</v>
      </c>
      <c r="B78" s="3"/>
      <c r="C78" s="41">
        <f aca="true" t="shared" si="28" ref="C78:K78">(C40/G40)-1</f>
        <v>0.09497505345687807</v>
      </c>
      <c r="D78" s="41">
        <f t="shared" si="28"/>
        <v>1.494304046091397</v>
      </c>
      <c r="E78" s="41">
        <f t="shared" si="28"/>
        <v>-33.61333333333334</v>
      </c>
      <c r="F78" s="42">
        <f t="shared" si="28"/>
        <v>-3.375945734411688</v>
      </c>
      <c r="G78" s="41">
        <f t="shared" si="28"/>
        <v>15.345631067961165</v>
      </c>
      <c r="H78" s="41">
        <f t="shared" si="28"/>
        <v>0.42454765901883973</v>
      </c>
      <c r="I78" s="41">
        <f t="shared" si="28"/>
        <v>-1.0726568176313878</v>
      </c>
      <c r="J78" s="41">
        <f t="shared" si="28"/>
        <v>-2.3272160664819945</v>
      </c>
      <c r="K78" s="43">
        <f t="shared" si="28"/>
        <v>-0.874221516668702</v>
      </c>
      <c r="L78" s="41">
        <f>(L40/8569)-1</f>
        <v>-0.3743727389427004</v>
      </c>
      <c r="M78" s="41">
        <f>(M40/6036)-1</f>
        <v>-0.3159377070907886</v>
      </c>
      <c r="N78" s="41">
        <f>(N40/3353)-1</f>
        <v>-0.1386817775126752</v>
      </c>
      <c r="O78" s="41">
        <f>(O40/P40)-1</f>
        <v>-0.4554099886945534</v>
      </c>
      <c r="P78" s="41">
        <f>(P40/7321)-1</f>
        <v>1.053954377817238</v>
      </c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2017-06-16T16:09:52Z</dcterms:created>
  <dcterms:modified xsi:type="dcterms:W3CDTF">2017-06-16T16:09:55Z</dcterms:modified>
  <cp:category/>
  <cp:version/>
  <cp:contentType/>
  <cp:contentStatus/>
</cp:coreProperties>
</file>