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loyds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<sst xmlns="http://schemas.openxmlformats.org/spreadsheetml/2006/main" count="89" uniqueCount="68">
  <si>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18-28</t>
  </si>
  <si>
    <t>LLOYDS TSB BANK, plc</t>
  </si>
  <si>
    <t>ESTADISTICA FINANCIERA.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</si>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</sst>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40">
    <font>
      <sz val="10"/>
      <name val="Arial"/>
      <family val="0"/>
    </font>
    <font>
      <b/>
      <sz val="7"/>
      <name val="Arial Narrow"/>
      <family val="2"/>
    </font>
    <font>
      <sz val="7"/>
      <name val="Arial"/>
      <family val="0"/>
    </font>
    <font>
      <sz val="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195" fontId="1" fillId="0" borderId="0" xfId="46" applyNumberFormat="1" applyFont="1" applyAlignment="1">
      <alignment/>
    </xf>
    <xf numFmtId="0" fontId="3" fillId="0" borderId="0" xfId="0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3" fontId="3" fillId="0" borderId="10" xfId="46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0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0" xfId="5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95" fontId="5" fillId="0" borderId="16" xfId="46" applyNumberFormat="1" applyFont="1" applyBorder="1" applyAlignment="1">
      <alignment/>
    </xf>
    <xf numFmtId="195" fontId="5" fillId="0" borderId="0" xfId="46" applyNumberFormat="1" applyFont="1" applyBorder="1" applyAlignment="1">
      <alignment/>
    </xf>
    <xf numFmtId="0" fontId="4" fillId="0" borderId="0" xfId="0" applyFont="1" applyAlignment="1">
      <alignment/>
    </xf>
    <xf numFmtId="195" fontId="4" fillId="0" borderId="0" xfId="46" applyNumberFormat="1" applyFont="1" applyAlignment="1">
      <alignment/>
    </xf>
    <xf numFmtId="195" fontId="4" fillId="0" borderId="0" xfId="46" applyNumberFormat="1" applyFont="1" applyBorder="1" applyAlignment="1">
      <alignment/>
    </xf>
    <xf numFmtId="195" fontId="4" fillId="0" borderId="15" xfId="46" applyNumberFormat="1" applyFont="1" applyBorder="1" applyAlignment="1">
      <alignment/>
    </xf>
    <xf numFmtId="195" fontId="4" fillId="0" borderId="16" xfId="46" applyNumberFormat="1" applyFont="1" applyBorder="1" applyAlignment="1">
      <alignment/>
    </xf>
    <xf numFmtId="195" fontId="4" fillId="0" borderId="10" xfId="46" applyNumberFormat="1" applyFont="1" applyBorder="1" applyAlignment="1">
      <alignment/>
    </xf>
    <xf numFmtId="195" fontId="4" fillId="0" borderId="13" xfId="46" applyNumberFormat="1" applyFont="1" applyBorder="1" applyAlignment="1">
      <alignment/>
    </xf>
    <xf numFmtId="195" fontId="4" fillId="0" borderId="14" xfId="46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95" fontId="4" fillId="0" borderId="15" xfId="0" applyNumberFormat="1" applyFont="1" applyBorder="1" applyAlignment="1">
      <alignment/>
    </xf>
    <xf numFmtId="195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46" applyNumberFormat="1" applyFont="1" applyBorder="1" applyAlignment="1">
      <alignment/>
    </xf>
    <xf numFmtId="3" fontId="4" fillId="0" borderId="14" xfId="46" applyNumberFormat="1" applyFont="1" applyBorder="1" applyAlignment="1">
      <alignment/>
    </xf>
    <xf numFmtId="10" fontId="4" fillId="0" borderId="0" xfId="52" applyNumberFormat="1" applyFont="1" applyBorder="1" applyAlignment="1">
      <alignment/>
    </xf>
    <xf numFmtId="10" fontId="4" fillId="0" borderId="15" xfId="52" applyNumberFormat="1" applyFont="1" applyBorder="1" applyAlignment="1">
      <alignment/>
    </xf>
    <xf numFmtId="10" fontId="4" fillId="0" borderId="0" xfId="52" applyNumberFormat="1" applyFont="1" applyAlignment="1">
      <alignment/>
    </xf>
    <xf numFmtId="10" fontId="4" fillId="0" borderId="16" xfId="52" applyNumberFormat="1" applyFont="1" applyBorder="1" applyAlignment="1">
      <alignment/>
    </xf>
    <xf numFmtId="10" fontId="4" fillId="0" borderId="10" xfId="52" applyNumberFormat="1" applyFont="1" applyBorder="1" applyAlignment="1">
      <alignment/>
    </xf>
    <xf numFmtId="10" fontId="4" fillId="0" borderId="13" xfId="52" applyNumberFormat="1" applyFont="1" applyBorder="1" applyAlignment="1">
      <alignment/>
    </xf>
    <xf numFmtId="10" fontId="4" fillId="0" borderId="14" xfId="52" applyNumberFormat="1" applyFont="1" applyBorder="1" applyAlignment="1">
      <alignment/>
    </xf>
    <xf numFmtId="197" fontId="4" fillId="0" borderId="0" xfId="52" applyNumberFormat="1" applyFont="1" applyAlignment="1">
      <alignment/>
    </xf>
    <xf numFmtId="197" fontId="4" fillId="0" borderId="16" xfId="52" applyNumberFormat="1" applyFont="1" applyBorder="1" applyAlignment="1">
      <alignment/>
    </xf>
    <xf numFmtId="197" fontId="4" fillId="0" borderId="0" xfId="52" applyNumberFormat="1" applyFont="1" applyBorder="1" applyAlignment="1">
      <alignment/>
    </xf>
    <xf numFmtId="197" fontId="4" fillId="0" borderId="15" xfId="52" applyNumberFormat="1" applyFont="1" applyBorder="1" applyAlignment="1">
      <alignment/>
    </xf>
    <xf numFmtId="197" fontId="4" fillId="0" borderId="10" xfId="52" applyNumberFormat="1" applyFont="1" applyBorder="1" applyAlignment="1">
      <alignment/>
    </xf>
    <xf numFmtId="197" fontId="4" fillId="0" borderId="13" xfId="52" applyNumberFormat="1" applyFont="1" applyBorder="1" applyAlignment="1">
      <alignment/>
    </xf>
    <xf numFmtId="197" fontId="4" fillId="0" borderId="14" xfId="52" applyNumberFormat="1" applyFont="1" applyBorder="1" applyAlignment="1">
      <alignment/>
    </xf>
    <xf numFmtId="10" fontId="4" fillId="0" borderId="0" xfId="52" applyNumberFormat="1" applyFont="1" applyFill="1" applyBorder="1" applyAlignment="1">
      <alignment/>
    </xf>
    <xf numFmtId="10" fontId="4" fillId="0" borderId="16" xfId="52" applyNumberFormat="1" applyFont="1" applyFill="1" applyBorder="1" applyAlignment="1">
      <alignment/>
    </xf>
    <xf numFmtId="10" fontId="4" fillId="0" borderId="10" xfId="52" applyNumberFormat="1" applyFont="1" applyFill="1" applyBorder="1" applyAlignment="1">
      <alignment/>
    </xf>
    <xf numFmtId="10" fontId="4" fillId="0" borderId="14" xfId="52" applyNumberFormat="1" applyFont="1" applyFill="1" applyBorder="1" applyAlignment="1">
      <alignment/>
    </xf>
    <xf numFmtId="3" fontId="4" fillId="0" borderId="13" xfId="46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" sqref="E3"/>
    </sheetView>
  </sheetViews>
  <sheetFormatPr defaultColWidth="11.421875" defaultRowHeight="12.75"/>
  <cols>
    <col min="1" max="1" width="1.7109375" style="26" customWidth="1"/>
    <col min="2" max="2" width="24.57421875" style="26" customWidth="1"/>
    <col min="3" max="3" width="7.8515625" style="26" customWidth="1"/>
    <col min="4" max="4" width="8.140625" style="26" customWidth="1"/>
    <col min="5" max="5" width="7.8515625" style="26" customWidth="1"/>
    <col min="6" max="7" width="7.7109375" style="26" customWidth="1"/>
    <col min="8" max="8" width="7.7109375" style="26" bestFit="1" customWidth="1"/>
    <col min="9" max="9" width="8.140625" style="26" customWidth="1"/>
    <col min="10" max="10" width="7.57421875" style="26" customWidth="1"/>
    <col min="11" max="12" width="8.421875" style="26" customWidth="1"/>
    <col min="13" max="13" width="7.7109375" style="26" customWidth="1"/>
    <col min="14" max="14" width="7.421875" style="26" customWidth="1"/>
    <col min="15" max="16" width="6.421875" style="1" hidden="1" customWidth="1"/>
    <col min="17" max="16384" width="11.421875" style="1" customWidth="1"/>
  </cols>
  <sheetData>
    <row r="1" spans="2:16" ht="11.25">
      <c r="B1" s="61"/>
      <c r="C1" s="61"/>
      <c r="D1" s="61"/>
      <c r="E1" s="61"/>
      <c r="F1" s="61"/>
      <c r="G1" s="61"/>
      <c r="H1" s="61" t="s">
        <v>0</v>
      </c>
      <c r="I1" s="61"/>
      <c r="J1" s="61"/>
      <c r="K1" s="61"/>
      <c r="L1" s="61"/>
      <c r="M1" s="61"/>
      <c r="N1" s="61"/>
      <c r="O1" s="61"/>
      <c r="P1" s="61"/>
    </row>
    <row r="2" spans="2:16" ht="11.25">
      <c r="B2" s="61"/>
      <c r="C2" s="61"/>
      <c r="D2" s="61"/>
      <c r="E2" s="61"/>
      <c r="F2" s="61"/>
      <c r="G2" s="61"/>
      <c r="H2" s="61" t="s">
        <v>1</v>
      </c>
      <c r="I2" s="61"/>
      <c r="J2" s="61"/>
      <c r="K2" s="61"/>
      <c r="L2" s="61"/>
      <c r="M2" s="61"/>
      <c r="N2" s="61"/>
      <c r="O2" s="61"/>
      <c r="P2" s="61"/>
    </row>
    <row r="3" spans="2:16" ht="11.25">
      <c r="B3" s="61"/>
      <c r="C3" s="61"/>
      <c r="D3" s="61"/>
      <c r="E3" s="61"/>
      <c r="F3" s="61"/>
      <c r="G3" s="61"/>
      <c r="H3" s="61" t="s">
        <v>2</v>
      </c>
      <c r="I3" s="61"/>
      <c r="J3" s="61"/>
      <c r="K3" s="61"/>
      <c r="L3" s="61"/>
      <c r="M3" s="61"/>
      <c r="N3" s="61"/>
      <c r="O3" s="61"/>
      <c r="P3" s="61"/>
    </row>
    <row r="4" spans="1:16" ht="11.25">
      <c r="A4" s="1"/>
      <c r="B4" s="60"/>
      <c r="C4" s="60"/>
      <c r="D4" s="60"/>
      <c r="E4" s="60"/>
      <c r="F4" s="60"/>
      <c r="G4" s="60"/>
      <c r="H4" s="60" t="s">
        <v>3</v>
      </c>
      <c r="I4" s="60"/>
      <c r="J4" s="60"/>
      <c r="K4" s="60"/>
      <c r="L4" s="60"/>
      <c r="M4" s="60"/>
      <c r="N4" s="60"/>
      <c r="O4" s="60"/>
      <c r="P4" s="60"/>
    </row>
    <row r="5" spans="1:16" ht="11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4"/>
      <c r="L6" s="14"/>
      <c r="M6" s="14"/>
      <c r="N6" s="14"/>
      <c r="O6" s="2"/>
      <c r="P6" s="2"/>
    </row>
    <row r="7" spans="1:16" ht="11.25">
      <c r="A7" s="15"/>
      <c r="B7" s="15"/>
      <c r="C7" s="63">
        <v>2002</v>
      </c>
      <c r="D7" s="63"/>
      <c r="E7" s="63"/>
      <c r="F7" s="65"/>
      <c r="G7" s="63">
        <v>2001</v>
      </c>
      <c r="H7" s="63"/>
      <c r="I7" s="63"/>
      <c r="J7" s="63"/>
      <c r="K7" s="62">
        <v>2000</v>
      </c>
      <c r="L7" s="63"/>
      <c r="M7" s="63"/>
      <c r="N7" s="63"/>
      <c r="O7" s="64" t="s">
        <v>4</v>
      </c>
      <c r="P7" s="64"/>
    </row>
    <row r="8" spans="1:16" ht="11.25">
      <c r="A8" s="16"/>
      <c r="B8" s="16"/>
      <c r="C8" s="17" t="s">
        <v>5</v>
      </c>
      <c r="D8" s="16" t="s">
        <v>6</v>
      </c>
      <c r="E8" s="18" t="s">
        <v>7</v>
      </c>
      <c r="F8" s="19" t="s">
        <v>8</v>
      </c>
      <c r="G8" s="17" t="s">
        <v>5</v>
      </c>
      <c r="H8" s="16" t="s">
        <v>6</v>
      </c>
      <c r="I8" s="16" t="s">
        <v>7</v>
      </c>
      <c r="J8" s="16" t="s">
        <v>8</v>
      </c>
      <c r="K8" s="20" t="s">
        <v>5</v>
      </c>
      <c r="L8" s="16" t="s">
        <v>6</v>
      </c>
      <c r="M8" s="16" t="s">
        <v>7</v>
      </c>
      <c r="N8" s="17" t="s">
        <v>8</v>
      </c>
      <c r="O8" s="3" t="s">
        <v>9</v>
      </c>
      <c r="P8" s="3" t="s">
        <v>10</v>
      </c>
    </row>
    <row r="9" spans="1:16" ht="11.25">
      <c r="A9" s="21" t="s">
        <v>11</v>
      </c>
      <c r="B9" s="21"/>
      <c r="C9" s="21"/>
      <c r="D9" s="21"/>
      <c r="E9" s="22"/>
      <c r="F9" s="23"/>
      <c r="G9" s="21"/>
      <c r="H9" s="21"/>
      <c r="I9" s="21"/>
      <c r="J9" s="21"/>
      <c r="K9" s="24"/>
      <c r="L9" s="25"/>
      <c r="M9" s="25"/>
      <c r="N9" s="25"/>
      <c r="O9" s="4"/>
      <c r="P9" s="4"/>
    </row>
    <row r="10" spans="1:16" ht="11.25">
      <c r="A10" s="26" t="s">
        <v>12</v>
      </c>
      <c r="C10" s="27">
        <v>168242</v>
      </c>
      <c r="D10" s="27">
        <v>195094</v>
      </c>
      <c r="E10" s="28">
        <v>231651</v>
      </c>
      <c r="F10" s="29">
        <v>237705</v>
      </c>
      <c r="G10" s="27">
        <v>284194</v>
      </c>
      <c r="H10" s="27">
        <v>273354</v>
      </c>
      <c r="I10" s="27">
        <v>269878</v>
      </c>
      <c r="J10" s="27">
        <v>233507</v>
      </c>
      <c r="K10" s="30">
        <v>199773</v>
      </c>
      <c r="L10" s="28">
        <v>186570</v>
      </c>
      <c r="M10" s="28">
        <v>197307</v>
      </c>
      <c r="N10" s="28">
        <v>205909</v>
      </c>
      <c r="O10" s="6">
        <v>391714</v>
      </c>
      <c r="P10" s="6">
        <v>348834</v>
      </c>
    </row>
    <row r="11" spans="1:16" ht="11.25">
      <c r="A11" s="26" t="s">
        <v>13</v>
      </c>
      <c r="C11" s="27">
        <v>26504</v>
      </c>
      <c r="D11" s="27">
        <v>30934</v>
      </c>
      <c r="E11" s="28">
        <v>49355</v>
      </c>
      <c r="F11" s="29">
        <v>76366</v>
      </c>
      <c r="G11" s="27">
        <v>108481</v>
      </c>
      <c r="H11" s="27">
        <v>82067</v>
      </c>
      <c r="I11" s="27">
        <v>96171</v>
      </c>
      <c r="J11" s="27">
        <v>83498</v>
      </c>
      <c r="K11" s="30">
        <v>44315</v>
      </c>
      <c r="L11" s="28">
        <v>29448</v>
      </c>
      <c r="M11" s="28">
        <v>55302</v>
      </c>
      <c r="N11" s="28">
        <v>8618</v>
      </c>
      <c r="O11" s="6">
        <v>20922</v>
      </c>
      <c r="P11" s="6">
        <v>21270</v>
      </c>
    </row>
    <row r="12" spans="1:16" ht="11.25">
      <c r="A12" s="26" t="s">
        <v>14</v>
      </c>
      <c r="C12" s="28">
        <f aca="true" t="shared" si="0" ref="C12:P12">C13+C14</f>
        <v>122174</v>
      </c>
      <c r="D12" s="28">
        <f t="shared" si="0"/>
        <v>142221</v>
      </c>
      <c r="E12" s="28">
        <f t="shared" si="0"/>
        <v>148989</v>
      </c>
      <c r="F12" s="29">
        <f t="shared" si="0"/>
        <v>130322</v>
      </c>
      <c r="G12" s="27">
        <f t="shared" si="0"/>
        <v>144354</v>
      </c>
      <c r="H12" s="27">
        <f t="shared" si="0"/>
        <v>156898</v>
      </c>
      <c r="I12" s="27">
        <f t="shared" si="0"/>
        <v>141674</v>
      </c>
      <c r="J12" s="27">
        <f t="shared" si="0"/>
        <v>131918</v>
      </c>
      <c r="K12" s="30">
        <f t="shared" si="0"/>
        <v>145197</v>
      </c>
      <c r="L12" s="28">
        <f t="shared" si="0"/>
        <v>147117</v>
      </c>
      <c r="M12" s="28">
        <f t="shared" si="0"/>
        <v>126659</v>
      </c>
      <c r="N12" s="28">
        <f t="shared" si="0"/>
        <v>183160</v>
      </c>
      <c r="O12" s="6">
        <f t="shared" si="0"/>
        <v>355627</v>
      </c>
      <c r="P12" s="6">
        <f t="shared" si="0"/>
        <v>311502</v>
      </c>
    </row>
    <row r="13" spans="2:16" ht="11.25">
      <c r="B13" s="26" t="s">
        <v>15</v>
      </c>
      <c r="C13" s="27">
        <v>117028</v>
      </c>
      <c r="D13" s="27">
        <v>135486</v>
      </c>
      <c r="E13" s="28">
        <v>141561</v>
      </c>
      <c r="F13" s="29">
        <v>121944</v>
      </c>
      <c r="G13" s="27">
        <v>135223</v>
      </c>
      <c r="H13" s="27">
        <v>146310</v>
      </c>
      <c r="I13" s="27">
        <v>129872</v>
      </c>
      <c r="J13" s="27">
        <v>118096</v>
      </c>
      <c r="K13" s="30">
        <v>127588</v>
      </c>
      <c r="L13" s="28">
        <v>125093</v>
      </c>
      <c r="M13" s="28">
        <v>103102</v>
      </c>
      <c r="N13" s="28">
        <v>95070</v>
      </c>
      <c r="O13" s="6">
        <v>90754</v>
      </c>
      <c r="P13" s="6">
        <v>90892</v>
      </c>
    </row>
    <row r="14" spans="2:16" ht="11.25">
      <c r="B14" s="26" t="s">
        <v>16</v>
      </c>
      <c r="C14" s="27">
        <v>5146</v>
      </c>
      <c r="D14" s="27">
        <v>6735</v>
      </c>
      <c r="E14" s="28">
        <v>7428</v>
      </c>
      <c r="F14" s="29">
        <v>8378</v>
      </c>
      <c r="G14" s="27">
        <v>9131</v>
      </c>
      <c r="H14" s="27">
        <v>10588</v>
      </c>
      <c r="I14" s="27">
        <v>11802</v>
      </c>
      <c r="J14" s="27">
        <v>13822</v>
      </c>
      <c r="K14" s="30">
        <v>17609</v>
      </c>
      <c r="L14" s="28">
        <v>22024</v>
      </c>
      <c r="M14" s="28">
        <v>23557</v>
      </c>
      <c r="N14" s="28">
        <v>88090</v>
      </c>
      <c r="O14" s="6">
        <v>264873</v>
      </c>
      <c r="P14" s="6">
        <v>220610</v>
      </c>
    </row>
    <row r="15" spans="1:16" ht="11.25">
      <c r="A15" s="26" t="s">
        <v>17</v>
      </c>
      <c r="C15" s="27">
        <v>10271</v>
      </c>
      <c r="D15" s="27">
        <v>9801</v>
      </c>
      <c r="E15" s="28">
        <v>22402</v>
      </c>
      <c r="F15" s="29">
        <v>22971</v>
      </c>
      <c r="G15" s="27">
        <v>23455</v>
      </c>
      <c r="H15" s="27">
        <v>20833</v>
      </c>
      <c r="I15" s="27">
        <v>18152</v>
      </c>
      <c r="J15" s="27">
        <v>9888</v>
      </c>
      <c r="K15" s="30">
        <v>675</v>
      </c>
      <c r="L15" s="28">
        <v>750</v>
      </c>
      <c r="M15" s="28">
        <v>825</v>
      </c>
      <c r="N15" s="28">
        <v>0</v>
      </c>
      <c r="O15" s="6">
        <v>1976</v>
      </c>
      <c r="P15" s="6">
        <v>1959</v>
      </c>
    </row>
    <row r="16" spans="1:16" ht="11.25">
      <c r="A16" s="26" t="s">
        <v>18</v>
      </c>
      <c r="C16" s="28">
        <f aca="true" t="shared" si="1" ref="C16:P16">C17+C21</f>
        <v>145460</v>
      </c>
      <c r="D16" s="28">
        <f t="shared" si="1"/>
        <v>170892</v>
      </c>
      <c r="E16" s="28">
        <f t="shared" si="1"/>
        <v>210243</v>
      </c>
      <c r="F16" s="29">
        <f t="shared" si="1"/>
        <v>222373</v>
      </c>
      <c r="G16" s="27">
        <f t="shared" si="1"/>
        <v>267707</v>
      </c>
      <c r="H16" s="27">
        <f t="shared" si="1"/>
        <v>249877</v>
      </c>
      <c r="I16" s="27">
        <f t="shared" si="1"/>
        <v>246127</v>
      </c>
      <c r="J16" s="27">
        <f t="shared" si="1"/>
        <v>215671</v>
      </c>
      <c r="K16" s="30">
        <f t="shared" si="1"/>
        <v>182441</v>
      </c>
      <c r="L16" s="28">
        <f t="shared" si="1"/>
        <v>168354</v>
      </c>
      <c r="M16" s="28">
        <f t="shared" si="1"/>
        <v>171901</v>
      </c>
      <c r="N16" s="28">
        <f t="shared" si="1"/>
        <v>182426</v>
      </c>
      <c r="O16" s="6">
        <f t="shared" si="1"/>
        <v>370278</v>
      </c>
      <c r="P16" s="6">
        <f t="shared" si="1"/>
        <v>326309</v>
      </c>
    </row>
    <row r="17" spans="2:16" ht="11.25">
      <c r="B17" s="26" t="s">
        <v>15</v>
      </c>
      <c r="C17" s="28">
        <f aca="true" t="shared" si="2" ref="C17:P17">SUM(C18:C20)</f>
        <v>41559</v>
      </c>
      <c r="D17" s="28">
        <f t="shared" si="2"/>
        <v>41736</v>
      </c>
      <c r="E17" s="28">
        <f t="shared" si="2"/>
        <v>60416</v>
      </c>
      <c r="F17" s="29">
        <f t="shared" si="2"/>
        <v>50072</v>
      </c>
      <c r="G17" s="27">
        <f t="shared" si="2"/>
        <v>45979</v>
      </c>
      <c r="H17" s="27">
        <f t="shared" si="2"/>
        <v>40184</v>
      </c>
      <c r="I17" s="27">
        <f t="shared" si="2"/>
        <v>46060</v>
      </c>
      <c r="J17" s="27">
        <f t="shared" si="2"/>
        <v>81658</v>
      </c>
      <c r="K17" s="30">
        <f t="shared" si="2"/>
        <v>52417</v>
      </c>
      <c r="L17" s="28">
        <f t="shared" si="2"/>
        <v>40876</v>
      </c>
      <c r="M17" s="28">
        <f t="shared" si="2"/>
        <v>50886</v>
      </c>
      <c r="N17" s="28">
        <f t="shared" si="2"/>
        <v>64923</v>
      </c>
      <c r="O17" s="6">
        <f t="shared" si="2"/>
        <v>75648</v>
      </c>
      <c r="P17" s="6">
        <f t="shared" si="2"/>
        <v>109522</v>
      </c>
    </row>
    <row r="18" spans="2:16" ht="11.25">
      <c r="B18" s="26" t="s">
        <v>19</v>
      </c>
      <c r="C18" s="27">
        <v>0</v>
      </c>
      <c r="D18" s="27">
        <v>0</v>
      </c>
      <c r="E18" s="28">
        <v>0</v>
      </c>
      <c r="F18" s="29">
        <v>0</v>
      </c>
      <c r="G18" s="27">
        <v>0</v>
      </c>
      <c r="H18" s="27">
        <v>0</v>
      </c>
      <c r="I18" s="27">
        <v>0</v>
      </c>
      <c r="J18" s="27">
        <v>0</v>
      </c>
      <c r="K18" s="30">
        <v>0</v>
      </c>
      <c r="L18" s="28">
        <v>0</v>
      </c>
      <c r="M18" s="28">
        <v>0</v>
      </c>
      <c r="N18" s="28">
        <v>0</v>
      </c>
      <c r="O18" s="6">
        <v>0</v>
      </c>
      <c r="P18" s="6">
        <v>0</v>
      </c>
    </row>
    <row r="19" spans="2:16" ht="11.25">
      <c r="B19" s="26" t="s">
        <v>20</v>
      </c>
      <c r="C19" s="27">
        <v>41559</v>
      </c>
      <c r="D19" s="27">
        <v>41736</v>
      </c>
      <c r="E19" s="28">
        <v>60120</v>
      </c>
      <c r="F19" s="29">
        <f>12671+37401</f>
        <v>50072</v>
      </c>
      <c r="G19" s="27">
        <v>45979</v>
      </c>
      <c r="H19" s="27">
        <v>40184</v>
      </c>
      <c r="I19" s="27">
        <v>46060</v>
      </c>
      <c r="J19" s="27">
        <v>47158</v>
      </c>
      <c r="K19" s="30">
        <v>52417</v>
      </c>
      <c r="L19" s="28">
        <v>38876</v>
      </c>
      <c r="M19" s="28">
        <v>50886</v>
      </c>
      <c r="N19" s="28">
        <v>64923</v>
      </c>
      <c r="O19" s="6">
        <v>36975</v>
      </c>
      <c r="P19" s="6">
        <v>39938</v>
      </c>
    </row>
    <row r="20" spans="2:16" ht="11.25">
      <c r="B20" s="26" t="s">
        <v>21</v>
      </c>
      <c r="C20" s="27">
        <v>0</v>
      </c>
      <c r="D20" s="27">
        <v>0</v>
      </c>
      <c r="E20" s="28">
        <v>296</v>
      </c>
      <c r="F20" s="29">
        <v>0</v>
      </c>
      <c r="G20" s="27">
        <v>0</v>
      </c>
      <c r="H20" s="27">
        <v>0</v>
      </c>
      <c r="I20" s="27">
        <v>0</v>
      </c>
      <c r="J20" s="27">
        <v>34500</v>
      </c>
      <c r="K20" s="30">
        <v>0</v>
      </c>
      <c r="L20" s="28">
        <v>2000</v>
      </c>
      <c r="M20" s="28">
        <v>0</v>
      </c>
      <c r="N20" s="28">
        <v>0</v>
      </c>
      <c r="O20" s="6">
        <v>38673</v>
      </c>
      <c r="P20" s="6">
        <v>69584</v>
      </c>
    </row>
    <row r="21" spans="2:16" ht="11.25">
      <c r="B21" s="26" t="s">
        <v>16</v>
      </c>
      <c r="C21" s="28">
        <f>SUM(C22:C24)</f>
        <v>103901</v>
      </c>
      <c r="D21" s="28">
        <f aca="true" t="shared" si="3" ref="D21:P21">SUM(D23:D24)</f>
        <v>129156</v>
      </c>
      <c r="E21" s="28">
        <f t="shared" si="3"/>
        <v>149827</v>
      </c>
      <c r="F21" s="29">
        <f t="shared" si="3"/>
        <v>172301</v>
      </c>
      <c r="G21" s="27">
        <f t="shared" si="3"/>
        <v>221728</v>
      </c>
      <c r="H21" s="27">
        <f t="shared" si="3"/>
        <v>209693</v>
      </c>
      <c r="I21" s="27">
        <f t="shared" si="3"/>
        <v>200067</v>
      </c>
      <c r="J21" s="27">
        <f t="shared" si="3"/>
        <v>134013</v>
      </c>
      <c r="K21" s="30">
        <f t="shared" si="3"/>
        <v>130024</v>
      </c>
      <c r="L21" s="28">
        <f t="shared" si="3"/>
        <v>127478</v>
      </c>
      <c r="M21" s="28">
        <f t="shared" si="3"/>
        <v>121015</v>
      </c>
      <c r="N21" s="28">
        <f t="shared" si="3"/>
        <v>117503</v>
      </c>
      <c r="O21" s="6">
        <f t="shared" si="3"/>
        <v>294630</v>
      </c>
      <c r="P21" s="6">
        <f t="shared" si="3"/>
        <v>216787</v>
      </c>
    </row>
    <row r="22" spans="2:16" ht="11.25">
      <c r="B22" s="26" t="s">
        <v>19</v>
      </c>
      <c r="C22" s="28">
        <v>0</v>
      </c>
      <c r="D22" s="28">
        <v>0</v>
      </c>
      <c r="E22" s="28">
        <v>0</v>
      </c>
      <c r="F22" s="29">
        <v>0</v>
      </c>
      <c r="G22" s="27">
        <v>0</v>
      </c>
      <c r="H22" s="27">
        <v>0</v>
      </c>
      <c r="I22" s="27">
        <v>0</v>
      </c>
      <c r="J22" s="27">
        <v>0</v>
      </c>
      <c r="K22" s="30">
        <v>0</v>
      </c>
      <c r="L22" s="28">
        <v>0</v>
      </c>
      <c r="M22" s="28">
        <v>0</v>
      </c>
      <c r="N22" s="28">
        <v>0</v>
      </c>
      <c r="O22" s="6"/>
      <c r="P22" s="6"/>
    </row>
    <row r="23" spans="2:16" ht="11.25">
      <c r="B23" s="26" t="s">
        <v>20</v>
      </c>
      <c r="C23" s="27">
        <v>76279</v>
      </c>
      <c r="D23" s="27">
        <v>76613</v>
      </c>
      <c r="E23" s="28">
        <v>73373</v>
      </c>
      <c r="F23" s="29">
        <f>3939+71878</f>
        <v>75817</v>
      </c>
      <c r="G23" s="27">
        <v>88434</v>
      </c>
      <c r="H23" s="27">
        <v>75398</v>
      </c>
      <c r="I23" s="27">
        <v>69107</v>
      </c>
      <c r="J23" s="27">
        <v>68939</v>
      </c>
      <c r="K23" s="30">
        <v>69185</v>
      </c>
      <c r="L23" s="28">
        <v>67922</v>
      </c>
      <c r="M23" s="28">
        <v>68089</v>
      </c>
      <c r="N23" s="28">
        <v>72552</v>
      </c>
      <c r="O23" s="6">
        <v>59455</v>
      </c>
      <c r="P23" s="6">
        <v>43917</v>
      </c>
    </row>
    <row r="24" spans="2:16" ht="11.25">
      <c r="B24" s="26" t="s">
        <v>21</v>
      </c>
      <c r="C24" s="27">
        <v>27622</v>
      </c>
      <c r="D24" s="27">
        <v>52543</v>
      </c>
      <c r="E24" s="28">
        <v>76454</v>
      </c>
      <c r="F24" s="29">
        <f>95573+911</f>
        <v>96484</v>
      </c>
      <c r="G24" s="27">
        <v>133294</v>
      </c>
      <c r="H24" s="27">
        <v>134295</v>
      </c>
      <c r="I24" s="27">
        <v>130960</v>
      </c>
      <c r="J24" s="27">
        <v>65074</v>
      </c>
      <c r="K24" s="30">
        <v>60839</v>
      </c>
      <c r="L24" s="28">
        <v>59556</v>
      </c>
      <c r="M24" s="28">
        <v>52926</v>
      </c>
      <c r="N24" s="28">
        <v>44951</v>
      </c>
      <c r="O24" s="6">
        <v>235175</v>
      </c>
      <c r="P24" s="6">
        <v>172870</v>
      </c>
    </row>
    <row r="25" spans="1:16" ht="11.25">
      <c r="A25" s="13" t="s">
        <v>22</v>
      </c>
      <c r="B25" s="13"/>
      <c r="C25" s="31">
        <v>10003</v>
      </c>
      <c r="D25" s="31">
        <v>9943</v>
      </c>
      <c r="E25" s="31">
        <v>9261</v>
      </c>
      <c r="F25" s="32">
        <v>5854</v>
      </c>
      <c r="G25" s="31">
        <v>5182</v>
      </c>
      <c r="H25" s="31">
        <v>7922</v>
      </c>
      <c r="I25" s="31">
        <v>8398</v>
      </c>
      <c r="J25" s="31">
        <v>7961</v>
      </c>
      <c r="K25" s="33">
        <v>7600</v>
      </c>
      <c r="L25" s="31">
        <v>6160</v>
      </c>
      <c r="M25" s="31">
        <v>6264</v>
      </c>
      <c r="N25" s="31">
        <v>6846</v>
      </c>
      <c r="O25" s="7">
        <v>6400</v>
      </c>
      <c r="P25" s="7">
        <v>5200</v>
      </c>
    </row>
    <row r="26" spans="1:16" ht="11.25">
      <c r="A26" s="21" t="s">
        <v>23</v>
      </c>
      <c r="E26" s="28"/>
      <c r="F26" s="29"/>
      <c r="G26" s="27"/>
      <c r="H26" s="27"/>
      <c r="J26" s="27"/>
      <c r="K26" s="30"/>
      <c r="L26" s="28"/>
      <c r="M26" s="28"/>
      <c r="N26" s="28"/>
      <c r="O26" s="6"/>
      <c r="P26" s="6"/>
    </row>
    <row r="27" spans="1:16" ht="11.25">
      <c r="A27" s="26" t="s">
        <v>12</v>
      </c>
      <c r="C27" s="28">
        <f aca="true" t="shared" si="4" ref="C27:K27">(C10+G10)/2</f>
        <v>226218</v>
      </c>
      <c r="D27" s="28">
        <f t="shared" si="4"/>
        <v>234224</v>
      </c>
      <c r="E27" s="28">
        <f t="shared" si="4"/>
        <v>250764.5</v>
      </c>
      <c r="F27" s="29">
        <f t="shared" si="4"/>
        <v>235606</v>
      </c>
      <c r="G27" s="27">
        <f t="shared" si="4"/>
        <v>241983.5</v>
      </c>
      <c r="H27" s="27">
        <f t="shared" si="4"/>
        <v>229962</v>
      </c>
      <c r="I27" s="27">
        <f t="shared" si="4"/>
        <v>233592.5</v>
      </c>
      <c r="J27" s="27">
        <f t="shared" si="4"/>
        <v>219708</v>
      </c>
      <c r="K27" s="30">
        <f t="shared" si="4"/>
        <v>295743.5</v>
      </c>
      <c r="L27" s="28">
        <f>(L10+339150)/2</f>
        <v>262860</v>
      </c>
      <c r="M27" s="28">
        <f>(M10+343532)/2</f>
        <v>270419.5</v>
      </c>
      <c r="N27" s="28">
        <f>(N10+344973)/2</f>
        <v>275441</v>
      </c>
      <c r="O27" s="6">
        <f>(O10+P10)/2</f>
        <v>370274</v>
      </c>
      <c r="P27" s="6">
        <f>(P10+264316)/2</f>
        <v>306575</v>
      </c>
    </row>
    <row r="28" spans="1:16" ht="11.25">
      <c r="A28" s="26" t="s">
        <v>24</v>
      </c>
      <c r="C28" s="28">
        <f aca="true" t="shared" si="5" ref="C28:P28">C29+C30</f>
        <v>150127</v>
      </c>
      <c r="D28" s="28">
        <f t="shared" si="5"/>
        <v>164876.5</v>
      </c>
      <c r="E28" s="28">
        <f t="shared" si="5"/>
        <v>165608.5</v>
      </c>
      <c r="F28" s="29">
        <f t="shared" si="5"/>
        <v>147549.5</v>
      </c>
      <c r="G28" s="27">
        <f t="shared" si="5"/>
        <v>156840.5</v>
      </c>
      <c r="H28" s="27">
        <f t="shared" si="5"/>
        <v>162799</v>
      </c>
      <c r="I28" s="27">
        <f t="shared" si="5"/>
        <v>143655</v>
      </c>
      <c r="J28" s="27">
        <f t="shared" si="5"/>
        <v>162483</v>
      </c>
      <c r="K28" s="30">
        <f t="shared" si="5"/>
        <v>251737.5</v>
      </c>
      <c r="L28" s="28">
        <f t="shared" si="5"/>
        <v>229624.5</v>
      </c>
      <c r="M28" s="28">
        <f t="shared" si="5"/>
        <v>226034</v>
      </c>
      <c r="N28" s="28">
        <f t="shared" si="5"/>
        <v>251191</v>
      </c>
      <c r="O28" s="6">
        <f t="shared" si="5"/>
        <v>335532</v>
      </c>
      <c r="P28" s="6">
        <f t="shared" si="5"/>
        <v>267087</v>
      </c>
    </row>
    <row r="29" spans="2:16" ht="11.25">
      <c r="B29" s="26" t="s">
        <v>14</v>
      </c>
      <c r="C29" s="28">
        <f aca="true" t="shared" si="6" ref="C29:K29">(C12+G12)/2</f>
        <v>133264</v>
      </c>
      <c r="D29" s="28">
        <f t="shared" si="6"/>
        <v>149559.5</v>
      </c>
      <c r="E29" s="28">
        <f t="shared" si="6"/>
        <v>145331.5</v>
      </c>
      <c r="F29" s="29">
        <f t="shared" si="6"/>
        <v>131120</v>
      </c>
      <c r="G29" s="27">
        <f t="shared" si="6"/>
        <v>144775.5</v>
      </c>
      <c r="H29" s="27">
        <f t="shared" si="6"/>
        <v>152007.5</v>
      </c>
      <c r="I29" s="27">
        <f t="shared" si="6"/>
        <v>134166.5</v>
      </c>
      <c r="J29" s="27">
        <f t="shared" si="6"/>
        <v>157539</v>
      </c>
      <c r="K29" s="30">
        <f t="shared" si="6"/>
        <v>250412</v>
      </c>
      <c r="L29" s="28">
        <f>(L12+309426)/2</f>
        <v>228271.5</v>
      </c>
      <c r="M29" s="28">
        <f>(M12+322628)/2</f>
        <v>224643.5</v>
      </c>
      <c r="N29" s="28">
        <f>(N12+317263)/2</f>
        <v>250211.5</v>
      </c>
      <c r="O29" s="6">
        <f>(O12+P12)/2</f>
        <v>333564.5</v>
      </c>
      <c r="P29" s="6">
        <f>(P12+218763)/2</f>
        <v>265132.5</v>
      </c>
    </row>
    <row r="30" spans="2:16" ht="11.25">
      <c r="B30" s="26" t="s">
        <v>17</v>
      </c>
      <c r="C30" s="28">
        <f aca="true" t="shared" si="7" ref="C30:K30">(C15+G15)/2</f>
        <v>16863</v>
      </c>
      <c r="D30" s="28">
        <f t="shared" si="7"/>
        <v>15317</v>
      </c>
      <c r="E30" s="28">
        <f t="shared" si="7"/>
        <v>20277</v>
      </c>
      <c r="F30" s="29">
        <f t="shared" si="7"/>
        <v>16429.5</v>
      </c>
      <c r="G30" s="27">
        <f t="shared" si="7"/>
        <v>12065</v>
      </c>
      <c r="H30" s="27">
        <f t="shared" si="7"/>
        <v>10791.5</v>
      </c>
      <c r="I30" s="27">
        <f t="shared" si="7"/>
        <v>9488.5</v>
      </c>
      <c r="J30" s="27">
        <f t="shared" si="7"/>
        <v>4944</v>
      </c>
      <c r="K30" s="30">
        <f t="shared" si="7"/>
        <v>1325.5</v>
      </c>
      <c r="L30" s="28">
        <f>(L15+1956)/2</f>
        <v>1353</v>
      </c>
      <c r="M30" s="28">
        <f>(M15+1956)/2</f>
        <v>1390.5</v>
      </c>
      <c r="N30" s="28">
        <f>(0+1959)/2</f>
        <v>979.5</v>
      </c>
      <c r="O30" s="6">
        <f>(O15+P15)/2</f>
        <v>1967.5</v>
      </c>
      <c r="P30" s="6">
        <f>(P15+1950)/2</f>
        <v>1954.5</v>
      </c>
    </row>
    <row r="31" spans="1:16" ht="11.25">
      <c r="A31" s="13" t="s">
        <v>22</v>
      </c>
      <c r="B31" s="13"/>
      <c r="C31" s="31">
        <f aca="true" t="shared" si="8" ref="C31:K31">(C25+G25)/2</f>
        <v>7592.5</v>
      </c>
      <c r="D31" s="31">
        <f t="shared" si="8"/>
        <v>8932.5</v>
      </c>
      <c r="E31" s="31">
        <f t="shared" si="8"/>
        <v>8829.5</v>
      </c>
      <c r="F31" s="32">
        <f t="shared" si="8"/>
        <v>6907.5</v>
      </c>
      <c r="G31" s="31">
        <f t="shared" si="8"/>
        <v>6391</v>
      </c>
      <c r="H31" s="31">
        <f t="shared" si="8"/>
        <v>7041</v>
      </c>
      <c r="I31" s="31">
        <f t="shared" si="8"/>
        <v>7331</v>
      </c>
      <c r="J31" s="31">
        <f t="shared" si="8"/>
        <v>7403.5</v>
      </c>
      <c r="K31" s="33">
        <f t="shared" si="8"/>
        <v>7000</v>
      </c>
      <c r="L31" s="31">
        <f>(L25+7275)/2</f>
        <v>6717.5</v>
      </c>
      <c r="M31" s="31">
        <f>(M25+6576)/2</f>
        <v>6420</v>
      </c>
      <c r="N31" s="31">
        <f>(N25+5829)/2</f>
        <v>6337.5</v>
      </c>
      <c r="O31" s="7">
        <f>(O25+P25)/2</f>
        <v>5800</v>
      </c>
      <c r="P31" s="7">
        <f>(P25+4000)/2</f>
        <v>4600</v>
      </c>
    </row>
    <row r="32" spans="1:16" ht="11.25">
      <c r="A32" s="21" t="s">
        <v>25</v>
      </c>
      <c r="E32" s="28"/>
      <c r="F32" s="34"/>
      <c r="H32" s="27"/>
      <c r="J32" s="27"/>
      <c r="K32" s="35"/>
      <c r="L32" s="14"/>
      <c r="M32" s="14"/>
      <c r="N32" s="14"/>
      <c r="O32" s="5"/>
      <c r="P32" s="5"/>
    </row>
    <row r="33" spans="1:16" ht="11.25">
      <c r="A33" s="26" t="s">
        <v>26</v>
      </c>
      <c r="C33" s="27">
        <v>8773</v>
      </c>
      <c r="D33" s="27">
        <v>6883</v>
      </c>
      <c r="E33" s="28">
        <v>4846</v>
      </c>
      <c r="F33" s="36">
        <v>2384</v>
      </c>
      <c r="G33" s="37">
        <v>12932</v>
      </c>
      <c r="H33" s="27">
        <f>I33+3458</f>
        <v>9997</v>
      </c>
      <c r="I33" s="27">
        <f>J33+3267</f>
        <v>6539</v>
      </c>
      <c r="J33" s="27">
        <v>3272</v>
      </c>
      <c r="K33" s="30">
        <f>3739+L33</f>
        <v>13014</v>
      </c>
      <c r="L33" s="28">
        <f>3296+M33</f>
        <v>9275</v>
      </c>
      <c r="M33" s="28">
        <f>3266+N33</f>
        <v>5979</v>
      </c>
      <c r="N33" s="28">
        <v>2713</v>
      </c>
      <c r="O33" s="6">
        <v>21495</v>
      </c>
      <c r="P33" s="6">
        <v>19859</v>
      </c>
    </row>
    <row r="34" spans="1:16" ht="11.25">
      <c r="A34" s="26" t="s">
        <v>27</v>
      </c>
      <c r="C34" s="27">
        <v>4002</v>
      </c>
      <c r="D34" s="27">
        <v>3283</v>
      </c>
      <c r="E34" s="28">
        <v>2407</v>
      </c>
      <c r="F34" s="36">
        <v>1212</v>
      </c>
      <c r="G34" s="37">
        <v>8717</v>
      </c>
      <c r="H34" s="27">
        <f>I34+2291</f>
        <v>6992</v>
      </c>
      <c r="I34" s="27">
        <f>J34+2353</f>
        <v>4701</v>
      </c>
      <c r="J34" s="27">
        <v>2348</v>
      </c>
      <c r="K34" s="30">
        <f>2605+L34</f>
        <v>8795</v>
      </c>
      <c r="L34" s="28">
        <f>2402+M34</f>
        <v>6190</v>
      </c>
      <c r="M34" s="28">
        <f>2098+N34</f>
        <v>3788</v>
      </c>
      <c r="N34" s="28">
        <v>1690</v>
      </c>
      <c r="O34" s="6">
        <v>15868</v>
      </c>
      <c r="P34" s="6">
        <v>14755</v>
      </c>
    </row>
    <row r="35" spans="1:16" ht="11.25">
      <c r="A35" s="26" t="s">
        <v>28</v>
      </c>
      <c r="C35" s="28">
        <f aca="true" t="shared" si="9" ref="C35:P35">C33-C34</f>
        <v>4771</v>
      </c>
      <c r="D35" s="28">
        <f t="shared" si="9"/>
        <v>3600</v>
      </c>
      <c r="E35" s="28">
        <f t="shared" si="9"/>
        <v>2439</v>
      </c>
      <c r="F35" s="29">
        <f t="shared" si="9"/>
        <v>1172</v>
      </c>
      <c r="G35" s="27">
        <f t="shared" si="9"/>
        <v>4215</v>
      </c>
      <c r="H35" s="27">
        <f t="shared" si="9"/>
        <v>3005</v>
      </c>
      <c r="I35" s="27">
        <f t="shared" si="9"/>
        <v>1838</v>
      </c>
      <c r="J35" s="27">
        <f t="shared" si="9"/>
        <v>924</v>
      </c>
      <c r="K35" s="30">
        <f t="shared" si="9"/>
        <v>4219</v>
      </c>
      <c r="L35" s="28">
        <f t="shared" si="9"/>
        <v>3085</v>
      </c>
      <c r="M35" s="28">
        <f t="shared" si="9"/>
        <v>2191</v>
      </c>
      <c r="N35" s="28">
        <f t="shared" si="9"/>
        <v>1023</v>
      </c>
      <c r="O35" s="6">
        <f t="shared" si="9"/>
        <v>5627</v>
      </c>
      <c r="P35" s="6">
        <f t="shared" si="9"/>
        <v>5104</v>
      </c>
    </row>
    <row r="36" spans="1:16" ht="11.25">
      <c r="A36" s="26" t="s">
        <v>29</v>
      </c>
      <c r="C36" s="27">
        <v>1959</v>
      </c>
      <c r="D36" s="27">
        <v>1226</v>
      </c>
      <c r="E36" s="28">
        <v>784</v>
      </c>
      <c r="F36" s="36">
        <v>409</v>
      </c>
      <c r="G36" s="37">
        <v>1386</v>
      </c>
      <c r="H36" s="27">
        <f>I36+352</f>
        <v>1061</v>
      </c>
      <c r="I36" s="27">
        <f>J36+353</f>
        <v>709</v>
      </c>
      <c r="J36" s="27">
        <v>356</v>
      </c>
      <c r="K36" s="30">
        <f>436+L36</f>
        <v>1603</v>
      </c>
      <c r="L36" s="28">
        <f>393+M36</f>
        <v>1167</v>
      </c>
      <c r="M36" s="28">
        <f>396+N36</f>
        <v>774</v>
      </c>
      <c r="N36" s="28">
        <v>378</v>
      </c>
      <c r="O36" s="6">
        <v>1405</v>
      </c>
      <c r="P36" s="6">
        <v>1482</v>
      </c>
    </row>
    <row r="37" spans="1:16" ht="11.25">
      <c r="A37" s="26" t="s">
        <v>30</v>
      </c>
      <c r="C37" s="28">
        <f aca="true" t="shared" si="10" ref="C37:P37">C35+C36</f>
        <v>6730</v>
      </c>
      <c r="D37" s="28">
        <f t="shared" si="10"/>
        <v>4826</v>
      </c>
      <c r="E37" s="28">
        <f t="shared" si="10"/>
        <v>3223</v>
      </c>
      <c r="F37" s="29">
        <f t="shared" si="10"/>
        <v>1581</v>
      </c>
      <c r="G37" s="27">
        <f t="shared" si="10"/>
        <v>5601</v>
      </c>
      <c r="H37" s="27">
        <f t="shared" si="10"/>
        <v>4066</v>
      </c>
      <c r="I37" s="27">
        <f t="shared" si="10"/>
        <v>2547</v>
      </c>
      <c r="J37" s="27">
        <f t="shared" si="10"/>
        <v>1280</v>
      </c>
      <c r="K37" s="30">
        <f t="shared" si="10"/>
        <v>5822</v>
      </c>
      <c r="L37" s="28">
        <f t="shared" si="10"/>
        <v>4252</v>
      </c>
      <c r="M37" s="28">
        <f t="shared" si="10"/>
        <v>2965</v>
      </c>
      <c r="N37" s="28">
        <f t="shared" si="10"/>
        <v>1401</v>
      </c>
      <c r="O37" s="6">
        <f t="shared" si="10"/>
        <v>7032</v>
      </c>
      <c r="P37" s="6">
        <f t="shared" si="10"/>
        <v>6586</v>
      </c>
    </row>
    <row r="38" spans="1:16" ht="11.25">
      <c r="A38" s="26" t="s">
        <v>31</v>
      </c>
      <c r="C38" s="27">
        <v>4563</v>
      </c>
      <c r="D38" s="27">
        <v>2787</v>
      </c>
      <c r="E38" s="28">
        <v>1865</v>
      </c>
      <c r="F38" s="36">
        <v>909</v>
      </c>
      <c r="G38" s="37">
        <v>3300</v>
      </c>
      <c r="H38" s="27">
        <f>I38+837</f>
        <v>2586</v>
      </c>
      <c r="I38" s="27">
        <f>J38+830</f>
        <v>1749</v>
      </c>
      <c r="J38" s="27">
        <v>919</v>
      </c>
      <c r="K38" s="30">
        <f>911+L38</f>
        <v>3747</v>
      </c>
      <c r="L38" s="28">
        <f>884+M38</f>
        <v>2836</v>
      </c>
      <c r="M38" s="28">
        <f>995+N38</f>
        <v>1952</v>
      </c>
      <c r="N38" s="28">
        <v>957</v>
      </c>
      <c r="O38" s="6">
        <v>4130</v>
      </c>
      <c r="P38" s="6">
        <v>3938</v>
      </c>
    </row>
    <row r="39" spans="1:16" ht="11.25">
      <c r="A39" s="26" t="s">
        <v>32</v>
      </c>
      <c r="C39" s="28">
        <f aca="true" t="shared" si="11" ref="C39:P39">C37-C38</f>
        <v>2167</v>
      </c>
      <c r="D39" s="28">
        <f t="shared" si="11"/>
        <v>2039</v>
      </c>
      <c r="E39" s="28">
        <f t="shared" si="11"/>
        <v>1358</v>
      </c>
      <c r="F39" s="29">
        <f t="shared" si="11"/>
        <v>672</v>
      </c>
      <c r="G39" s="27">
        <f t="shared" si="11"/>
        <v>2301</v>
      </c>
      <c r="H39" s="27">
        <f t="shared" si="11"/>
        <v>1480</v>
      </c>
      <c r="I39" s="27">
        <f t="shared" si="11"/>
        <v>798</v>
      </c>
      <c r="J39" s="27">
        <f t="shared" si="11"/>
        <v>361</v>
      </c>
      <c r="K39" s="30">
        <f t="shared" si="11"/>
        <v>2075</v>
      </c>
      <c r="L39" s="28">
        <f t="shared" si="11"/>
        <v>1416</v>
      </c>
      <c r="M39" s="28">
        <f t="shared" si="11"/>
        <v>1013</v>
      </c>
      <c r="N39" s="28">
        <f t="shared" si="11"/>
        <v>444</v>
      </c>
      <c r="O39" s="6">
        <f t="shared" si="11"/>
        <v>2902</v>
      </c>
      <c r="P39" s="6">
        <f t="shared" si="11"/>
        <v>2648</v>
      </c>
    </row>
    <row r="40" spans="1:16" ht="11.25">
      <c r="A40" s="13" t="s">
        <v>33</v>
      </c>
      <c r="B40" s="13"/>
      <c r="C40" s="31">
        <v>1201</v>
      </c>
      <c r="D40" s="31">
        <v>1141</v>
      </c>
      <c r="E40" s="31">
        <v>459</v>
      </c>
      <c r="F40" s="32">
        <v>672</v>
      </c>
      <c r="G40" s="38">
        <v>-2400</v>
      </c>
      <c r="H40" s="39">
        <f>I40-476</f>
        <v>322</v>
      </c>
      <c r="I40" s="39">
        <f>J40+437</f>
        <v>798</v>
      </c>
      <c r="J40" s="39">
        <v>361</v>
      </c>
      <c r="K40" s="40">
        <f>1930+L40</f>
        <v>1687</v>
      </c>
      <c r="L40" s="39">
        <f>-106+M40</f>
        <v>-243</v>
      </c>
      <c r="M40" s="39">
        <f>-581+N40</f>
        <v>-137</v>
      </c>
      <c r="N40" s="39">
        <v>444</v>
      </c>
      <c r="O40" s="7">
        <v>2454</v>
      </c>
      <c r="P40" s="7">
        <v>2648</v>
      </c>
    </row>
    <row r="41" spans="1:16" ht="11.25">
      <c r="A41" s="21" t="s">
        <v>34</v>
      </c>
      <c r="E41" s="28"/>
      <c r="F41" s="34"/>
      <c r="H41" s="27"/>
      <c r="I41" s="27"/>
      <c r="K41" s="30"/>
      <c r="L41" s="28"/>
      <c r="M41" s="28"/>
      <c r="N41" s="28"/>
      <c r="O41" s="6"/>
      <c r="P41" s="6"/>
    </row>
    <row r="42" spans="1:16" ht="11.25">
      <c r="A42" s="26" t="s">
        <v>35</v>
      </c>
      <c r="C42" s="27">
        <v>1443</v>
      </c>
      <c r="D42" s="27">
        <v>2026</v>
      </c>
      <c r="E42" s="28">
        <v>2532</v>
      </c>
      <c r="F42" s="29">
        <v>1103</v>
      </c>
      <c r="G42" s="27">
        <v>863</v>
      </c>
      <c r="H42" s="27">
        <v>3238</v>
      </c>
      <c r="I42" s="27">
        <v>3354</v>
      </c>
      <c r="J42" s="27">
        <v>3833</v>
      </c>
      <c r="K42" s="30">
        <v>4270</v>
      </c>
      <c r="L42" s="28">
        <v>1876</v>
      </c>
      <c r="M42" s="28">
        <v>966</v>
      </c>
      <c r="N42" s="28">
        <v>1155</v>
      </c>
      <c r="O42" s="6">
        <v>22101</v>
      </c>
      <c r="P42" s="6">
        <v>4814</v>
      </c>
    </row>
    <row r="43" spans="1:16" ht="11.25">
      <c r="A43" s="26" t="s">
        <v>36</v>
      </c>
      <c r="C43" s="27">
        <v>3506</v>
      </c>
      <c r="D43" s="27">
        <v>3974</v>
      </c>
      <c r="E43" s="28">
        <v>3974</v>
      </c>
      <c r="F43" s="29">
        <v>3102</v>
      </c>
      <c r="G43" s="27">
        <v>3218</v>
      </c>
      <c r="H43" s="27">
        <v>2018</v>
      </c>
      <c r="I43" s="27">
        <v>860</v>
      </c>
      <c r="J43" s="27">
        <v>860</v>
      </c>
      <c r="K43" s="30">
        <v>1248</v>
      </c>
      <c r="L43" s="28">
        <v>1835</v>
      </c>
      <c r="M43" s="28">
        <v>2056</v>
      </c>
      <c r="N43" s="28">
        <v>908</v>
      </c>
      <c r="O43" s="6">
        <v>910</v>
      </c>
      <c r="P43" s="6">
        <v>517</v>
      </c>
    </row>
    <row r="44" spans="1:16" ht="11.25">
      <c r="A44" s="26" t="s">
        <v>37</v>
      </c>
      <c r="C44" s="41">
        <f aca="true" t="shared" si="12" ref="C44:P44">C42/C12</f>
        <v>0.011811023622047244</v>
      </c>
      <c r="D44" s="41">
        <f t="shared" si="12"/>
        <v>0.014245434921706358</v>
      </c>
      <c r="E44" s="41">
        <f t="shared" si="12"/>
        <v>0.01699454322131164</v>
      </c>
      <c r="F44" s="42">
        <f t="shared" si="12"/>
        <v>0.00846365157072482</v>
      </c>
      <c r="G44" s="43">
        <f t="shared" si="12"/>
        <v>0.005978358756944733</v>
      </c>
      <c r="H44" s="43">
        <f t="shared" si="12"/>
        <v>0.02063761169677115</v>
      </c>
      <c r="I44" s="43">
        <f t="shared" si="12"/>
        <v>0.023674068636447054</v>
      </c>
      <c r="J44" s="43">
        <f t="shared" si="12"/>
        <v>0.029055928682969724</v>
      </c>
      <c r="K44" s="44">
        <f t="shared" si="12"/>
        <v>0.029408321108562847</v>
      </c>
      <c r="L44" s="41">
        <f t="shared" si="12"/>
        <v>0.01275175540556156</v>
      </c>
      <c r="M44" s="41">
        <f t="shared" si="12"/>
        <v>0.007626777410211671</v>
      </c>
      <c r="N44" s="41">
        <f t="shared" si="12"/>
        <v>0.0063059620004367765</v>
      </c>
      <c r="O44" s="9">
        <f t="shared" si="12"/>
        <v>0.06214657492260149</v>
      </c>
      <c r="P44" s="9">
        <f t="shared" si="12"/>
        <v>0.015454154387451766</v>
      </c>
    </row>
    <row r="45" spans="1:16" ht="11.25">
      <c r="A45" s="26" t="s">
        <v>38</v>
      </c>
      <c r="C45" s="41">
        <f aca="true" t="shared" si="13" ref="C45:P45">C43/C42</f>
        <v>2.4296604296604296</v>
      </c>
      <c r="D45" s="41">
        <f t="shared" si="13"/>
        <v>1.9615004935834155</v>
      </c>
      <c r="E45" s="41">
        <f t="shared" si="13"/>
        <v>1.5695102685624012</v>
      </c>
      <c r="F45" s="42">
        <f t="shared" si="13"/>
        <v>2.812330009066183</v>
      </c>
      <c r="G45" s="43">
        <f t="shared" si="13"/>
        <v>3.7288528389339515</v>
      </c>
      <c r="H45" s="43">
        <f t="shared" si="13"/>
        <v>0.6232242124768376</v>
      </c>
      <c r="I45" s="43">
        <f t="shared" si="13"/>
        <v>0.2564102564102564</v>
      </c>
      <c r="J45" s="43">
        <f t="shared" si="13"/>
        <v>0.22436733629011218</v>
      </c>
      <c r="K45" s="44">
        <f t="shared" si="13"/>
        <v>0.29227166276346606</v>
      </c>
      <c r="L45" s="41">
        <f t="shared" si="13"/>
        <v>0.9781449893390192</v>
      </c>
      <c r="M45" s="41">
        <f t="shared" si="13"/>
        <v>2.1283643892339543</v>
      </c>
      <c r="N45" s="41">
        <f t="shared" si="13"/>
        <v>0.7861471861471861</v>
      </c>
      <c r="O45" s="9">
        <f t="shared" si="13"/>
        <v>0.04117460748382426</v>
      </c>
      <c r="P45" s="9">
        <f t="shared" si="13"/>
        <v>0.10739509763190694</v>
      </c>
    </row>
    <row r="46" spans="1:16" ht="11.25">
      <c r="A46" s="13" t="s">
        <v>39</v>
      </c>
      <c r="B46" s="13"/>
      <c r="C46" s="45">
        <f aca="true" t="shared" si="14" ref="C46:P46">C43/C12</f>
        <v>0.028696776728272793</v>
      </c>
      <c r="D46" s="45">
        <f t="shared" si="14"/>
        <v>0.027942427630237448</v>
      </c>
      <c r="E46" s="45">
        <f t="shared" si="14"/>
        <v>0.02667311009537617</v>
      </c>
      <c r="F46" s="46">
        <f t="shared" si="14"/>
        <v>0.023802581298629548</v>
      </c>
      <c r="G46" s="45">
        <f t="shared" si="14"/>
        <v>0.022292420022999016</v>
      </c>
      <c r="H46" s="45">
        <f t="shared" si="14"/>
        <v>0.012861859297122972</v>
      </c>
      <c r="I46" s="45">
        <f t="shared" si="14"/>
        <v>0.006070274009345398</v>
      </c>
      <c r="J46" s="45">
        <f t="shared" si="14"/>
        <v>0.006519201322033384</v>
      </c>
      <c r="K46" s="47">
        <f t="shared" si="14"/>
        <v>0.008595218909481601</v>
      </c>
      <c r="L46" s="45">
        <f t="shared" si="14"/>
        <v>0.012473065655226791</v>
      </c>
      <c r="M46" s="45">
        <f t="shared" si="14"/>
        <v>0.016232561444508485</v>
      </c>
      <c r="N46" s="45">
        <f t="shared" si="14"/>
        <v>0.004957414282594453</v>
      </c>
      <c r="O46" s="10">
        <f t="shared" si="14"/>
        <v>0.0025588608289021926</v>
      </c>
      <c r="P46" s="10">
        <f t="shared" si="14"/>
        <v>0.0016597004192589453</v>
      </c>
    </row>
    <row r="47" spans="1:16" ht="11.25">
      <c r="A47" s="21" t="s">
        <v>40</v>
      </c>
      <c r="E47" s="14"/>
      <c r="F47" s="34"/>
      <c r="K47" s="35"/>
      <c r="L47" s="14"/>
      <c r="M47" s="14"/>
      <c r="N47" s="14"/>
      <c r="O47" s="5"/>
      <c r="P47" s="5"/>
    </row>
    <row r="48" spans="1:16" ht="11.25">
      <c r="A48" s="26" t="s">
        <v>41</v>
      </c>
      <c r="C48" s="41">
        <f aca="true" t="shared" si="15" ref="C48:P48">C25/(C12+C15)</f>
        <v>0.07552568990901884</v>
      </c>
      <c r="D48" s="41">
        <f t="shared" si="15"/>
        <v>0.06540500717001486</v>
      </c>
      <c r="E48" s="41">
        <f t="shared" si="15"/>
        <v>0.05403434252673711</v>
      </c>
      <c r="F48" s="42">
        <f t="shared" si="15"/>
        <v>0.03818830605441866</v>
      </c>
      <c r="G48" s="43">
        <f t="shared" si="15"/>
        <v>0.030880346107777294</v>
      </c>
      <c r="H48" s="43">
        <f t="shared" si="15"/>
        <v>0.04457297826490595</v>
      </c>
      <c r="I48" s="43">
        <f t="shared" si="15"/>
        <v>0.052544642298499616</v>
      </c>
      <c r="J48" s="43">
        <f t="shared" si="15"/>
        <v>0.05614007869906774</v>
      </c>
      <c r="K48" s="44">
        <f t="shared" si="15"/>
        <v>0.05210047164637491</v>
      </c>
      <c r="L48" s="41">
        <f t="shared" si="15"/>
        <v>0.041659058478227054</v>
      </c>
      <c r="M48" s="41">
        <f t="shared" si="15"/>
        <v>0.04913557779799818</v>
      </c>
      <c r="N48" s="41">
        <f t="shared" si="15"/>
        <v>0.03737715658440707</v>
      </c>
      <c r="O48" s="9">
        <f t="shared" si="15"/>
        <v>0.017896941580467726</v>
      </c>
      <c r="P48" s="9">
        <f t="shared" si="15"/>
        <v>0.016588985551631623</v>
      </c>
    </row>
    <row r="49" spans="1:16" ht="11.25">
      <c r="A49" s="13" t="s">
        <v>42</v>
      </c>
      <c r="B49" s="13"/>
      <c r="C49" s="45">
        <f>C25/C10</f>
        <v>0.05945602168305179</v>
      </c>
      <c r="D49" s="45">
        <f>D25/D10</f>
        <v>0.050965175761427825</v>
      </c>
      <c r="E49" s="45">
        <f>E25/E10</f>
        <v>0.03997824313298885</v>
      </c>
      <c r="F49" s="46">
        <f>F25/F12</f>
        <v>0.044919507067110696</v>
      </c>
      <c r="G49" s="45">
        <f>G25/G12</f>
        <v>0.03589786219986976</v>
      </c>
      <c r="H49" s="45">
        <f aca="true" t="shared" si="16" ref="H49:P49">H25/H10</f>
        <v>0.028980735602917827</v>
      </c>
      <c r="I49" s="45">
        <f t="shared" si="16"/>
        <v>0.031117764323138602</v>
      </c>
      <c r="J49" s="45">
        <f t="shared" si="16"/>
        <v>0.034093196349574105</v>
      </c>
      <c r="K49" s="47">
        <f t="shared" si="16"/>
        <v>0.03804317900817428</v>
      </c>
      <c r="L49" s="45">
        <f t="shared" si="16"/>
        <v>0.03301709814010827</v>
      </c>
      <c r="M49" s="45">
        <f t="shared" si="16"/>
        <v>0.031747479815718654</v>
      </c>
      <c r="N49" s="45">
        <f t="shared" si="16"/>
        <v>0.033247696798100135</v>
      </c>
      <c r="O49" s="10">
        <f t="shared" si="16"/>
        <v>0.016338451012728676</v>
      </c>
      <c r="P49" s="10">
        <f t="shared" si="16"/>
        <v>0.014906803809261711</v>
      </c>
    </row>
    <row r="50" spans="1:16" ht="11.25">
      <c r="A50" s="21" t="s">
        <v>43</v>
      </c>
      <c r="E50" s="14"/>
      <c r="F50" s="34"/>
      <c r="J50" s="48"/>
      <c r="K50" s="49"/>
      <c r="L50" s="50"/>
      <c r="M50" s="50"/>
      <c r="N50" s="50"/>
      <c r="O50" s="11"/>
      <c r="P50" s="11"/>
    </row>
    <row r="51" spans="1:16" ht="11.25">
      <c r="A51" s="26" t="s">
        <v>44</v>
      </c>
      <c r="C51" s="50">
        <f aca="true" t="shared" si="17" ref="C51:P51">C11/C16</f>
        <v>0.18220816719373023</v>
      </c>
      <c r="D51" s="50">
        <f t="shared" si="17"/>
        <v>0.18101491000163847</v>
      </c>
      <c r="E51" s="50">
        <f t="shared" si="17"/>
        <v>0.23475216772972227</v>
      </c>
      <c r="F51" s="51">
        <f t="shared" si="17"/>
        <v>0.34341399360533875</v>
      </c>
      <c r="G51" s="48">
        <f t="shared" si="17"/>
        <v>0.4052228742617862</v>
      </c>
      <c r="H51" s="48">
        <f t="shared" si="17"/>
        <v>0.32842958735697964</v>
      </c>
      <c r="I51" s="48">
        <f t="shared" si="17"/>
        <v>0.3907373022870307</v>
      </c>
      <c r="J51" s="48">
        <f t="shared" si="17"/>
        <v>0.3871545084874647</v>
      </c>
      <c r="K51" s="49">
        <f t="shared" si="17"/>
        <v>0.24290044452727183</v>
      </c>
      <c r="L51" s="50">
        <f t="shared" si="17"/>
        <v>0.17491713888591895</v>
      </c>
      <c r="M51" s="50">
        <f t="shared" si="17"/>
        <v>0.32170842519822457</v>
      </c>
      <c r="N51" s="50">
        <f t="shared" si="17"/>
        <v>0.04724107309265127</v>
      </c>
      <c r="O51" s="11">
        <f t="shared" si="17"/>
        <v>0.05650349197089754</v>
      </c>
      <c r="P51" s="11">
        <f t="shared" si="17"/>
        <v>0.0651836143042331</v>
      </c>
    </row>
    <row r="52" spans="1:16" ht="11.25">
      <c r="A52" s="26" t="s">
        <v>45</v>
      </c>
      <c r="C52" s="50">
        <f aca="true" t="shared" si="18" ref="C52:P52">C11/C10</f>
        <v>0.15753497937494798</v>
      </c>
      <c r="D52" s="50">
        <f t="shared" si="18"/>
        <v>0.1585594636431669</v>
      </c>
      <c r="E52" s="50">
        <f t="shared" si="18"/>
        <v>0.21305757367764439</v>
      </c>
      <c r="F52" s="51">
        <f t="shared" si="18"/>
        <v>0.3212637512883616</v>
      </c>
      <c r="G52" s="48">
        <f t="shared" si="18"/>
        <v>0.3817146034047165</v>
      </c>
      <c r="H52" s="48">
        <f t="shared" si="18"/>
        <v>0.30022242220710144</v>
      </c>
      <c r="I52" s="48">
        <f t="shared" si="18"/>
        <v>0.356349906253937</v>
      </c>
      <c r="J52" s="48">
        <f t="shared" si="18"/>
        <v>0.3575824279357792</v>
      </c>
      <c r="K52" s="49">
        <f t="shared" si="18"/>
        <v>0.22182677338779513</v>
      </c>
      <c r="L52" s="50">
        <f t="shared" si="18"/>
        <v>0.1578388808490111</v>
      </c>
      <c r="M52" s="50">
        <f t="shared" si="18"/>
        <v>0.2802840243883897</v>
      </c>
      <c r="N52" s="50">
        <f t="shared" si="18"/>
        <v>0.04185344011189409</v>
      </c>
      <c r="O52" s="11">
        <f t="shared" si="18"/>
        <v>0.05341141751379833</v>
      </c>
      <c r="P52" s="11">
        <f t="shared" si="18"/>
        <v>0.060974560965960885</v>
      </c>
    </row>
    <row r="53" spans="1:16" ht="11.25">
      <c r="A53" s="13" t="s">
        <v>46</v>
      </c>
      <c r="B53" s="13"/>
      <c r="C53" s="52">
        <f aca="true" t="shared" si="19" ref="C53:P53">(C11+C15)/C16</f>
        <v>0.2528186443008387</v>
      </c>
      <c r="D53" s="52">
        <f t="shared" si="19"/>
        <v>0.23836692179856284</v>
      </c>
      <c r="E53" s="52">
        <f t="shared" si="19"/>
        <v>0.34130506128622595</v>
      </c>
      <c r="F53" s="53">
        <f t="shared" si="19"/>
        <v>0.4467134049547382</v>
      </c>
      <c r="G53" s="52">
        <f t="shared" si="19"/>
        <v>0.49283731841154693</v>
      </c>
      <c r="H53" s="52">
        <f t="shared" si="19"/>
        <v>0.41180260688258624</v>
      </c>
      <c r="I53" s="52">
        <f t="shared" si="19"/>
        <v>0.46448784570567225</v>
      </c>
      <c r="J53" s="52">
        <f t="shared" si="19"/>
        <v>0.4330021189682433</v>
      </c>
      <c r="K53" s="54">
        <f t="shared" si="19"/>
        <v>0.2466002707724689</v>
      </c>
      <c r="L53" s="52">
        <f t="shared" si="19"/>
        <v>0.17937203749242667</v>
      </c>
      <c r="M53" s="52">
        <f t="shared" si="19"/>
        <v>0.32650769919895756</v>
      </c>
      <c r="N53" s="50">
        <f t="shared" si="19"/>
        <v>0.04724107309265127</v>
      </c>
      <c r="O53" s="12">
        <f t="shared" si="19"/>
        <v>0.061840022901711686</v>
      </c>
      <c r="P53" s="12">
        <f t="shared" si="19"/>
        <v>0.07118712631278941</v>
      </c>
    </row>
    <row r="54" spans="1:16" ht="11.25">
      <c r="A54" s="21" t="s">
        <v>47</v>
      </c>
      <c r="E54" s="14"/>
      <c r="F54" s="34"/>
      <c r="K54" s="35"/>
      <c r="L54" s="14"/>
      <c r="M54" s="14"/>
      <c r="N54" s="14"/>
      <c r="O54" s="5"/>
      <c r="P54" s="5"/>
    </row>
    <row r="55" spans="1:16" ht="11.25">
      <c r="A55" s="26" t="s">
        <v>48</v>
      </c>
      <c r="B55" s="14"/>
      <c r="C55" s="41">
        <f>(C40)/C28</f>
        <v>0.007999893423568046</v>
      </c>
      <c r="D55" s="41">
        <f>(D40/0.75)/D28</f>
        <v>0.009227108371013051</v>
      </c>
      <c r="E55" s="41">
        <f>(E40/0.5)/E28</f>
        <v>0.005543193737036444</v>
      </c>
      <c r="F55" s="42">
        <f>((F40)/0.25)/F28</f>
        <v>0.01821761510543919</v>
      </c>
      <c r="G55" s="55">
        <f>G40/G28</f>
        <v>-0.015302170038988655</v>
      </c>
      <c r="H55" s="55">
        <f>(H40/0.75)/H28</f>
        <v>0.0026371988361926875</v>
      </c>
      <c r="I55" s="43">
        <f>(I40/0.5)/I28</f>
        <v>0.011109950924088964</v>
      </c>
      <c r="J55" s="43">
        <f>((J40)/0.25)/J28</f>
        <v>0.008887083571819821</v>
      </c>
      <c r="K55" s="56">
        <f>K40/K28</f>
        <v>0.0067014250955856796</v>
      </c>
      <c r="L55" s="55">
        <f>(L40/0.75)/L28</f>
        <v>-0.0014109992618383492</v>
      </c>
      <c r="M55" s="55">
        <f>(M40/0.5)/M28</f>
        <v>-0.0012122070131042233</v>
      </c>
      <c r="N55" s="41">
        <f>((N40)/0.25)/N28</f>
        <v>0.007070317009765477</v>
      </c>
      <c r="O55" s="9">
        <f>O40/O28</f>
        <v>0.007313758449268624</v>
      </c>
      <c r="P55" s="9">
        <f>P40/P28</f>
        <v>0.009914372470393543</v>
      </c>
    </row>
    <row r="56" spans="1:16" ht="11.25">
      <c r="A56" s="26" t="s">
        <v>49</v>
      </c>
      <c r="B56" s="14"/>
      <c r="C56" s="41">
        <f>(C40)/C27</f>
        <v>0.005309038184406192</v>
      </c>
      <c r="D56" s="41">
        <f>(D40/0.75)/D27</f>
        <v>0.006495206867500057</v>
      </c>
      <c r="E56" s="41">
        <f>(E40/0.5)/E27</f>
        <v>0.003660805257522496</v>
      </c>
      <c r="F56" s="42">
        <f>((F40)/0.25)/F27</f>
        <v>0.011408877532830234</v>
      </c>
      <c r="G56" s="55">
        <f>G40/G27</f>
        <v>-0.00991803160132819</v>
      </c>
      <c r="H56" s="55">
        <f>(H40/0.75)/H27</f>
        <v>0.001866975123426189</v>
      </c>
      <c r="I56" s="43">
        <f>(I40/0.5)/I27</f>
        <v>0.0068324111433372215</v>
      </c>
      <c r="J56" s="43">
        <f>((J40)/0.25)/J27</f>
        <v>0.00657235967738999</v>
      </c>
      <c r="K56" s="56">
        <f>K40/K27</f>
        <v>0.005704267380348173</v>
      </c>
      <c r="L56" s="55">
        <f>(L40/0.75)/L27</f>
        <v>-0.001232595297877197</v>
      </c>
      <c r="M56" s="55">
        <f>(M40/0.5)/M27</f>
        <v>-0.0010132405392362608</v>
      </c>
      <c r="N56" s="41">
        <f>((N40)/0.25)/N27</f>
        <v>0.00644784182456497</v>
      </c>
      <c r="O56" s="9">
        <f>O40/O27</f>
        <v>0.006627524481870183</v>
      </c>
      <c r="P56" s="9">
        <f>P40/P27</f>
        <v>0.00863736442958493</v>
      </c>
    </row>
    <row r="57" spans="1:16" ht="11.25">
      <c r="A57" s="26" t="s">
        <v>50</v>
      </c>
      <c r="B57" s="14"/>
      <c r="C57" s="41">
        <f>(C40)/C31</f>
        <v>0.15818241685874218</v>
      </c>
      <c r="D57" s="41">
        <f>(D40/0.75)/D31</f>
        <v>0.17031439499953352</v>
      </c>
      <c r="E57" s="41">
        <f>(E40/0.5)/E31</f>
        <v>0.10396964720539102</v>
      </c>
      <c r="F57" s="42">
        <f>((F40)/0.25)/F31</f>
        <v>0.38914223669924</v>
      </c>
      <c r="G57" s="55">
        <f>+G40/G31</f>
        <v>-0.37552808637145985</v>
      </c>
      <c r="H57" s="55">
        <f>(H40/0.75)/H31</f>
        <v>0.060976187094636175</v>
      </c>
      <c r="I57" s="43">
        <f>(I40/0.5)/I31</f>
        <v>0.2177056336106943</v>
      </c>
      <c r="J57" s="43">
        <f>((J40)/0.25)/J31</f>
        <v>0.1950428851219018</v>
      </c>
      <c r="K57" s="56">
        <f>+K40/K31</f>
        <v>0.241</v>
      </c>
      <c r="L57" s="55">
        <f>(L40/0.75)/L31</f>
        <v>-0.048232229251953855</v>
      </c>
      <c r="M57" s="55">
        <f>(M40/0.5)/M31</f>
        <v>-0.0426791277258567</v>
      </c>
      <c r="N57" s="41">
        <f>((N40)/0.25)/N31</f>
        <v>0.28023668639053256</v>
      </c>
      <c r="O57" s="9">
        <f>O40/O31</f>
        <v>0.42310344827586205</v>
      </c>
      <c r="P57" s="9">
        <f>P40/P31</f>
        <v>0.5756521739130435</v>
      </c>
    </row>
    <row r="58" spans="1:16" ht="11.25">
      <c r="A58" s="26" t="s">
        <v>51</v>
      </c>
      <c r="B58" s="14"/>
      <c r="C58" s="41">
        <f>(C33)/C28</f>
        <v>0.058437189845930444</v>
      </c>
      <c r="D58" s="41">
        <f>(D33/0.75)/D28</f>
        <v>0.055661864082105904</v>
      </c>
      <c r="E58" s="41">
        <f>(E33/0.5)/E28</f>
        <v>0.05852356612130416</v>
      </c>
      <c r="F58" s="42">
        <f>((F33)/0.25)/F28</f>
        <v>0.06462915835024856</v>
      </c>
      <c r="G58" s="55">
        <f>G33/G28</f>
        <v>0.0824531928934172</v>
      </c>
      <c r="H58" s="55">
        <f>(H33/0.75)/H28</f>
        <v>0.08187601479943571</v>
      </c>
      <c r="I58" s="43">
        <f>(I33/0.5)/I28</f>
        <v>0.09103755525390693</v>
      </c>
      <c r="J58" s="43">
        <f>((J33)/0.25)/J28</f>
        <v>0.08054996522713145</v>
      </c>
      <c r="K58" s="56">
        <f>K33/K28</f>
        <v>0.05169670788023238</v>
      </c>
      <c r="L58" s="55">
        <f>(L33/0.75)/L28</f>
        <v>0.05385604178415921</v>
      </c>
      <c r="M58" s="55">
        <f>(M33/0.5)/M28</f>
        <v>0.052903545484307674</v>
      </c>
      <c r="N58" s="41">
        <f>((N33)/0.25)/N28</f>
        <v>0.04320218479165257</v>
      </c>
      <c r="O58" s="9">
        <f>O33/O28</f>
        <v>0.06406244411859376</v>
      </c>
      <c r="P58" s="9">
        <f>P33/P27</f>
        <v>0.06477697137731388</v>
      </c>
    </row>
    <row r="59" spans="1:16" ht="11.25">
      <c r="A59" s="26" t="s">
        <v>52</v>
      </c>
      <c r="B59" s="14"/>
      <c r="C59" s="41">
        <f>(C34)/C28</f>
        <v>0.026657430042563962</v>
      </c>
      <c r="D59" s="41">
        <f>(D34/0.75)/D28</f>
        <v>0.02654916457671853</v>
      </c>
      <c r="E59" s="41">
        <f>(E34/0.5)/E28</f>
        <v>0.029068556263718348</v>
      </c>
      <c r="F59" s="42">
        <f>((F34)/0.25)/F28</f>
        <v>0.0328567701008814</v>
      </c>
      <c r="G59" s="55">
        <f>G34/G28</f>
        <v>0.05557875676244337</v>
      </c>
      <c r="H59" s="55">
        <f>(H34/0.75)/H28</f>
        <v>0.05726488901446978</v>
      </c>
      <c r="I59" s="43">
        <f>(I34/0.5)/I28</f>
        <v>0.0654484702934113</v>
      </c>
      <c r="J59" s="43">
        <f>((J34)/0.25)/J28</f>
        <v>0.05780297015687795</v>
      </c>
      <c r="K59" s="56">
        <f>K34/K28</f>
        <v>0.0349371865534535</v>
      </c>
      <c r="L59" s="55">
        <f>(L34/0.75)/L28</f>
        <v>0.03594273839826906</v>
      </c>
      <c r="M59" s="55">
        <f>(M34/0.5)/M28</f>
        <v>0.033517081501013124</v>
      </c>
      <c r="N59" s="41">
        <f>((N34)/0.25)/N28</f>
        <v>0.026911792221855083</v>
      </c>
      <c r="O59" s="9">
        <f>O34/O28</f>
        <v>0.04729206156193746</v>
      </c>
      <c r="P59" s="9">
        <f>P34/P27</f>
        <v>0.04812851667618038</v>
      </c>
    </row>
    <row r="60" spans="1:16" ht="11.25">
      <c r="A60" s="26" t="s">
        <v>53</v>
      </c>
      <c r="B60" s="14"/>
      <c r="C60" s="41">
        <f>(C35)/C28</f>
        <v>0.03177975980336648</v>
      </c>
      <c r="D60" s="41">
        <f>(D35/0.75)/D28</f>
        <v>0.029112699505387366</v>
      </c>
      <c r="E60" s="41">
        <f>(E35/0.5)/E28</f>
        <v>0.029455009857585812</v>
      </c>
      <c r="F60" s="42">
        <f>((F35)/0.25)/F28</f>
        <v>0.031772388249367164</v>
      </c>
      <c r="G60" s="55">
        <f>G35/G28</f>
        <v>0.026874436130973824</v>
      </c>
      <c r="H60" s="55">
        <f>(H35/0.75)/H28</f>
        <v>0.02461112578496592</v>
      </c>
      <c r="I60" s="43">
        <f>(I35/0.5)/I28</f>
        <v>0.025589084960495632</v>
      </c>
      <c r="J60" s="43">
        <f>((J35)/0.25)/J28</f>
        <v>0.022746995070253503</v>
      </c>
      <c r="K60" s="56">
        <f>K35/K28</f>
        <v>0.016759521326778888</v>
      </c>
      <c r="L60" s="55">
        <f>(L35/0.75)/L28</f>
        <v>0.01791330338589015</v>
      </c>
      <c r="M60" s="55">
        <f>(M35/0.5)/M28</f>
        <v>0.01938646398329455</v>
      </c>
      <c r="N60" s="41">
        <f>((N35)/0.25)/N28</f>
        <v>0.016290392569797484</v>
      </c>
      <c r="O60" s="9">
        <f>O35/O28</f>
        <v>0.016770382556656294</v>
      </c>
      <c r="P60" s="9">
        <f>P35/P27</f>
        <v>0.01664845470113349</v>
      </c>
    </row>
    <row r="61" spans="1:16" ht="11.25">
      <c r="A61" s="26" t="s">
        <v>54</v>
      </c>
      <c r="B61" s="14"/>
      <c r="C61" s="41">
        <f>(C38)/(C37)</f>
        <v>0.6780089153046063</v>
      </c>
      <c r="D61" s="41">
        <f>(D38/0.75)/(D37/0.75)</f>
        <v>0.5774968918358889</v>
      </c>
      <c r="E61" s="41">
        <f>(E38/0.5)/(E37/0.5)</f>
        <v>0.57865342848278</v>
      </c>
      <c r="F61" s="42">
        <f>(F38/0.25)/(F37/0.25)</f>
        <v>0.5749525616698292</v>
      </c>
      <c r="G61" s="55">
        <f>G38/G37</f>
        <v>0.5891805034815212</v>
      </c>
      <c r="H61" s="55">
        <f>(H38/0.75)/(H37/0.75)</f>
        <v>0.6360059026069848</v>
      </c>
      <c r="I61" s="43">
        <f>(I38/0.5)/(I37/0.5)</f>
        <v>0.6866902237926973</v>
      </c>
      <c r="J61" s="43">
        <f>(J38/0.25)/(J37/0.25)</f>
        <v>0.71796875</v>
      </c>
      <c r="K61" s="56">
        <f>K38/K37</f>
        <v>0.6435932669185846</v>
      </c>
      <c r="L61" s="55">
        <f>(L38/0.75)/(L37/0.75)</f>
        <v>0.6669802445907809</v>
      </c>
      <c r="M61" s="55">
        <f>(M38/0.5)/(M37/0.5)</f>
        <v>0.6583473861720067</v>
      </c>
      <c r="N61" s="41">
        <f>(N38/0.25)/(N37/0.25)</f>
        <v>0.683083511777302</v>
      </c>
      <c r="O61" s="9">
        <f>O38/O37</f>
        <v>0.5873151308304891</v>
      </c>
      <c r="P61" s="9">
        <f>P38/P37</f>
        <v>0.5979350136653507</v>
      </c>
    </row>
    <row r="62" spans="1:16" ht="11.25">
      <c r="A62" s="13" t="s">
        <v>55</v>
      </c>
      <c r="B62" s="13"/>
      <c r="C62" s="45">
        <f>(C36)/C28</f>
        <v>0.013048951887402</v>
      </c>
      <c r="D62" s="45">
        <f>(D36/0.75)/D28</f>
        <v>0.009914491553779142</v>
      </c>
      <c r="E62" s="45">
        <f>(E36/0.5)/E28</f>
        <v>0.00946811304975288</v>
      </c>
      <c r="F62" s="46">
        <f>(F36/0.25)/F28</f>
        <v>0.01108780443173308</v>
      </c>
      <c r="G62" s="57">
        <f>G36/G28</f>
        <v>0.008837003197515948</v>
      </c>
      <c r="H62" s="57">
        <f>(H36/0.75)/H28</f>
        <v>0.008689652065839881</v>
      </c>
      <c r="I62" s="45">
        <f>(I36/0.5)/I28</f>
        <v>0.00987087118443493</v>
      </c>
      <c r="J62" s="45">
        <f>(J36/0.25)/J28</f>
        <v>0.008763993771656112</v>
      </c>
      <c r="K62" s="58">
        <f>K36/K28</f>
        <v>0.006367744177963156</v>
      </c>
      <c r="L62" s="57">
        <f>(L36/0.75)/L28</f>
        <v>0.006776280405618738</v>
      </c>
      <c r="M62" s="57">
        <f>(M36/0.5)/M28</f>
        <v>0.0068485272127202105</v>
      </c>
      <c r="N62" s="45">
        <f>(N36/0.25)/N28</f>
        <v>0.006019323940746285</v>
      </c>
      <c r="O62" s="10">
        <f>O36/O28</f>
        <v>0.004187380041247929</v>
      </c>
      <c r="P62" s="10">
        <f>P36/P27</f>
        <v>0.004834053657343227</v>
      </c>
    </row>
    <row r="63" spans="1:16" ht="11.25">
      <c r="A63" s="21" t="s">
        <v>56</v>
      </c>
      <c r="E63" s="14"/>
      <c r="F63" s="34"/>
      <c r="K63" s="35"/>
      <c r="L63" s="14"/>
      <c r="M63" s="14"/>
      <c r="N63" s="14"/>
      <c r="O63" s="5"/>
      <c r="P63" s="5"/>
    </row>
    <row r="64" spans="1:16" ht="11.25">
      <c r="A64" s="26" t="s">
        <v>57</v>
      </c>
      <c r="C64" s="27">
        <v>83</v>
      </c>
      <c r="D64" s="27">
        <v>84</v>
      </c>
      <c r="E64" s="14">
        <v>85</v>
      </c>
      <c r="F64" s="34">
        <v>85</v>
      </c>
      <c r="G64" s="26">
        <v>82</v>
      </c>
      <c r="H64" s="27">
        <v>85</v>
      </c>
      <c r="I64" s="27">
        <v>83</v>
      </c>
      <c r="J64" s="27">
        <v>83</v>
      </c>
      <c r="K64" s="30">
        <v>81</v>
      </c>
      <c r="L64" s="28">
        <v>81</v>
      </c>
      <c r="M64" s="28">
        <v>82</v>
      </c>
      <c r="N64" s="28">
        <v>81</v>
      </c>
      <c r="O64" s="6">
        <v>79</v>
      </c>
      <c r="P64" s="6">
        <v>74</v>
      </c>
    </row>
    <row r="65" spans="1:16" ht="11.25">
      <c r="A65" s="26" t="s">
        <v>58</v>
      </c>
      <c r="C65" s="27">
        <v>3</v>
      </c>
      <c r="D65" s="27">
        <v>3</v>
      </c>
      <c r="E65" s="14">
        <v>3</v>
      </c>
      <c r="F65" s="34">
        <v>3</v>
      </c>
      <c r="G65" s="26">
        <v>3</v>
      </c>
      <c r="H65" s="27">
        <v>3</v>
      </c>
      <c r="I65" s="27">
        <v>3</v>
      </c>
      <c r="J65" s="27">
        <v>3</v>
      </c>
      <c r="K65" s="30">
        <v>3</v>
      </c>
      <c r="L65" s="28">
        <v>3</v>
      </c>
      <c r="M65" s="28">
        <v>3</v>
      </c>
      <c r="N65" s="28">
        <v>3</v>
      </c>
      <c r="O65" s="6">
        <v>3</v>
      </c>
      <c r="P65" s="6">
        <v>3</v>
      </c>
    </row>
    <row r="66" spans="1:16" ht="11.25">
      <c r="A66" s="26" t="s">
        <v>59</v>
      </c>
      <c r="C66" s="28">
        <f aca="true" t="shared" si="20" ref="C66:P66">C12/C64</f>
        <v>1471.9759036144578</v>
      </c>
      <c r="D66" s="28">
        <f t="shared" si="20"/>
        <v>1693.107142857143</v>
      </c>
      <c r="E66" s="28">
        <f t="shared" si="20"/>
        <v>1752.8117647058823</v>
      </c>
      <c r="F66" s="29">
        <f t="shared" si="20"/>
        <v>1533.2</v>
      </c>
      <c r="G66" s="27">
        <f t="shared" si="20"/>
        <v>1760.4146341463415</v>
      </c>
      <c r="H66" s="27">
        <f t="shared" si="20"/>
        <v>1845.8588235294117</v>
      </c>
      <c r="I66" s="27">
        <f t="shared" si="20"/>
        <v>1706.9156626506024</v>
      </c>
      <c r="J66" s="27">
        <f t="shared" si="20"/>
        <v>1589.3734939759036</v>
      </c>
      <c r="K66" s="30">
        <f t="shared" si="20"/>
        <v>1792.5555555555557</v>
      </c>
      <c r="L66" s="28">
        <f t="shared" si="20"/>
        <v>1816.2592592592594</v>
      </c>
      <c r="M66" s="28">
        <f t="shared" si="20"/>
        <v>1544.621951219512</v>
      </c>
      <c r="N66" s="28">
        <f t="shared" si="20"/>
        <v>2261.2345679012346</v>
      </c>
      <c r="O66" s="6">
        <f t="shared" si="20"/>
        <v>4501.607594936709</v>
      </c>
      <c r="P66" s="6">
        <f t="shared" si="20"/>
        <v>4209.486486486487</v>
      </c>
    </row>
    <row r="67" spans="1:16" ht="11.25">
      <c r="A67" s="26" t="s">
        <v>60</v>
      </c>
      <c r="C67" s="28">
        <f aca="true" t="shared" si="21" ref="C67:P67">C16/C64</f>
        <v>1752.5301204819277</v>
      </c>
      <c r="D67" s="28">
        <f t="shared" si="21"/>
        <v>2034.4285714285713</v>
      </c>
      <c r="E67" s="28">
        <f t="shared" si="21"/>
        <v>2473.4470588235295</v>
      </c>
      <c r="F67" s="29">
        <f t="shared" si="21"/>
        <v>2616.1529411764704</v>
      </c>
      <c r="G67" s="27">
        <f t="shared" si="21"/>
        <v>3264.7195121951218</v>
      </c>
      <c r="H67" s="27">
        <f t="shared" si="21"/>
        <v>2939.7294117647057</v>
      </c>
      <c r="I67" s="27">
        <f t="shared" si="21"/>
        <v>2965.385542168675</v>
      </c>
      <c r="J67" s="27">
        <f t="shared" si="21"/>
        <v>2598.4457831325303</v>
      </c>
      <c r="K67" s="30">
        <f t="shared" si="21"/>
        <v>2252.358024691358</v>
      </c>
      <c r="L67" s="28">
        <f t="shared" si="21"/>
        <v>2078.4444444444443</v>
      </c>
      <c r="M67" s="28">
        <f t="shared" si="21"/>
        <v>2096.3536585365855</v>
      </c>
      <c r="N67" s="28">
        <f t="shared" si="21"/>
        <v>2252.1728395061727</v>
      </c>
      <c r="O67" s="6">
        <f t="shared" si="21"/>
        <v>4687.06329113924</v>
      </c>
      <c r="P67" s="6">
        <f t="shared" si="21"/>
        <v>4409.581081081081</v>
      </c>
    </row>
    <row r="68" spans="1:16" ht="11.25">
      <c r="A68" s="13" t="s">
        <v>61</v>
      </c>
      <c r="B68" s="13"/>
      <c r="C68" s="31">
        <f aca="true" t="shared" si="22" ref="C68:P68">(C40/C64)</f>
        <v>14.46987951807229</v>
      </c>
      <c r="D68" s="31">
        <f t="shared" si="22"/>
        <v>13.583333333333334</v>
      </c>
      <c r="E68" s="31">
        <f t="shared" si="22"/>
        <v>5.4</v>
      </c>
      <c r="F68" s="59">
        <f t="shared" si="22"/>
        <v>7.905882352941177</v>
      </c>
      <c r="G68" s="39">
        <f t="shared" si="22"/>
        <v>-29.26829268292683</v>
      </c>
      <c r="H68" s="39">
        <f t="shared" si="22"/>
        <v>3.788235294117647</v>
      </c>
      <c r="I68" s="39">
        <f t="shared" si="22"/>
        <v>9.614457831325302</v>
      </c>
      <c r="J68" s="39">
        <f t="shared" si="22"/>
        <v>4.349397590361446</v>
      </c>
      <c r="K68" s="40">
        <f t="shared" si="22"/>
        <v>20.82716049382716</v>
      </c>
      <c r="L68" s="39">
        <f t="shared" si="22"/>
        <v>-3</v>
      </c>
      <c r="M68" s="39">
        <f t="shared" si="22"/>
        <v>-1.670731707317073</v>
      </c>
      <c r="N68" s="39">
        <f t="shared" si="22"/>
        <v>5.481481481481482</v>
      </c>
      <c r="O68" s="8">
        <f t="shared" si="22"/>
        <v>31.063291139240505</v>
      </c>
      <c r="P68" s="7">
        <f t="shared" si="22"/>
        <v>35.78378378378378</v>
      </c>
    </row>
    <row r="69" spans="1:16" ht="11.25">
      <c r="A69" s="21" t="s">
        <v>62</v>
      </c>
      <c r="E69" s="14"/>
      <c r="F69" s="34"/>
      <c r="K69" s="35"/>
      <c r="L69" s="14"/>
      <c r="M69" s="14"/>
      <c r="N69" s="14"/>
      <c r="O69" s="5"/>
      <c r="P69" s="5"/>
    </row>
    <row r="70" spans="1:16" ht="11.25">
      <c r="A70" s="26" t="s">
        <v>63</v>
      </c>
      <c r="C70" s="41">
        <f aca="true" t="shared" si="23" ref="C70:K70">(C10/G10)-1</f>
        <v>-0.4080029838772107</v>
      </c>
      <c r="D70" s="41">
        <f t="shared" si="23"/>
        <v>-0.2862954264433665</v>
      </c>
      <c r="E70" s="41">
        <f t="shared" si="23"/>
        <v>-0.14164548425584889</v>
      </c>
      <c r="F70" s="42">
        <f t="shared" si="23"/>
        <v>0.017978047767304606</v>
      </c>
      <c r="G70" s="43">
        <f t="shared" si="23"/>
        <v>0.4225846335590895</v>
      </c>
      <c r="H70" s="43">
        <f t="shared" si="23"/>
        <v>0.46515516964142134</v>
      </c>
      <c r="I70" s="43">
        <f t="shared" si="23"/>
        <v>0.36780752836949526</v>
      </c>
      <c r="J70" s="43">
        <f t="shared" si="23"/>
        <v>0.1340300812494839</v>
      </c>
      <c r="K70" s="44">
        <f t="shared" si="23"/>
        <v>-0.4900029102865866</v>
      </c>
      <c r="L70" s="41">
        <f>(L10/339150)-1</f>
        <v>-0.449889429455993</v>
      </c>
      <c r="M70" s="41">
        <f>(M10/543532)-1</f>
        <v>-0.6369910143285031</v>
      </c>
      <c r="N70" s="41">
        <f>(N10/344973)-1</f>
        <v>-0.403115606148887</v>
      </c>
      <c r="O70" s="9">
        <f>(O10/P10)-1</f>
        <v>0.12292379756560434</v>
      </c>
      <c r="P70" s="9">
        <f>(P10/264316)-1</f>
        <v>0.31976119493333743</v>
      </c>
    </row>
    <row r="71" spans="1:16" ht="11.25">
      <c r="A71" s="26" t="s">
        <v>64</v>
      </c>
      <c r="C71" s="41">
        <f aca="true" t="shared" si="24" ref="C71:I73">(C12/G12)-1</f>
        <v>-0.153650054726575</v>
      </c>
      <c r="D71" s="41">
        <f t="shared" si="24"/>
        <v>-0.09354485079478392</v>
      </c>
      <c r="E71" s="41">
        <f t="shared" si="24"/>
        <v>0.05163262137018787</v>
      </c>
      <c r="F71" s="42">
        <f t="shared" si="24"/>
        <v>-0.012098424779029449</v>
      </c>
      <c r="G71" s="43">
        <f t="shared" si="24"/>
        <v>-0.00580590508068346</v>
      </c>
      <c r="H71" s="43">
        <f t="shared" si="24"/>
        <v>0.06648449873230144</v>
      </c>
      <c r="I71" s="43">
        <f t="shared" si="24"/>
        <v>0.11854664887611621</v>
      </c>
      <c r="J71" s="43">
        <f>J12/N12-1</f>
        <v>-0.2797663245250055</v>
      </c>
      <c r="K71" s="44">
        <f>(K12/O12)-1</f>
        <v>-0.5917154771713059</v>
      </c>
      <c r="L71" s="41">
        <f>L12/309426-1</f>
        <v>-0.5245486804599484</v>
      </c>
      <c r="M71" s="41">
        <f>M12/322628-1</f>
        <v>-0.6074147315174132</v>
      </c>
      <c r="N71" s="41">
        <f>N12/317263-1</f>
        <v>-0.4226871712112663</v>
      </c>
      <c r="O71" s="9">
        <f>(O12/P12)-1</f>
        <v>0.14165238104410238</v>
      </c>
      <c r="P71" s="9">
        <f>P12/218763-1</f>
        <v>0.4239245210570344</v>
      </c>
    </row>
    <row r="72" spans="2:16" ht="11.25">
      <c r="B72" s="26" t="s">
        <v>15</v>
      </c>
      <c r="C72" s="41">
        <f t="shared" si="24"/>
        <v>-0.1345555120060936</v>
      </c>
      <c r="D72" s="41">
        <f t="shared" si="24"/>
        <v>-0.07397990567972113</v>
      </c>
      <c r="E72" s="41">
        <f t="shared" si="24"/>
        <v>0.09000400394234331</v>
      </c>
      <c r="F72" s="42">
        <f t="shared" si="24"/>
        <v>0.03258366075057584</v>
      </c>
      <c r="G72" s="43">
        <f t="shared" si="24"/>
        <v>0.059841050882528224</v>
      </c>
      <c r="H72" s="43">
        <f t="shared" si="24"/>
        <v>0.16960981030113587</v>
      </c>
      <c r="I72" s="43">
        <f t="shared" si="24"/>
        <v>0.25964578766658253</v>
      </c>
      <c r="J72" s="43">
        <f>(J13/N13)-1</f>
        <v>0.2422004838540024</v>
      </c>
      <c r="K72" s="44">
        <f>(K13/O13)-1</f>
        <v>0.4058664080922052</v>
      </c>
      <c r="L72" s="41">
        <f>(L13/97339)-1</f>
        <v>0.2851272357431245</v>
      </c>
      <c r="M72" s="41">
        <f>(M13/107406)-1</f>
        <v>-0.04007224922257602</v>
      </c>
      <c r="N72" s="41">
        <f>(N13/93975)-1</f>
        <v>0.011652035115722326</v>
      </c>
      <c r="O72" s="9">
        <f>(O13/P13)-1</f>
        <v>-0.0015182854376623034</v>
      </c>
      <c r="P72" s="9">
        <f>(P13/74132)-1</f>
        <v>0.2260832029353046</v>
      </c>
    </row>
    <row r="73" spans="2:16" ht="11.25">
      <c r="B73" s="26" t="s">
        <v>16</v>
      </c>
      <c r="C73" s="41">
        <f t="shared" si="24"/>
        <v>-0.43642536414412436</v>
      </c>
      <c r="D73" s="41">
        <f t="shared" si="24"/>
        <v>-0.36390253116735927</v>
      </c>
      <c r="E73" s="41">
        <f t="shared" si="24"/>
        <v>-0.37061514997458056</v>
      </c>
      <c r="F73" s="42">
        <f t="shared" si="24"/>
        <v>-0.39386485313268704</v>
      </c>
      <c r="G73" s="43">
        <f t="shared" si="24"/>
        <v>-0.48145834516440456</v>
      </c>
      <c r="H73" s="43">
        <f t="shared" si="24"/>
        <v>-0.5192517253904831</v>
      </c>
      <c r="I73" s="43">
        <f t="shared" si="24"/>
        <v>-0.49900241966294523</v>
      </c>
      <c r="J73" s="43">
        <f>(J14/N14)-1</f>
        <v>-0.8430922919741174</v>
      </c>
      <c r="K73" s="44">
        <f>(K14/O14)-1</f>
        <v>-0.9335190827302141</v>
      </c>
      <c r="L73" s="41">
        <f>(L14/212087)-1</f>
        <v>-0.8961558228462848</v>
      </c>
      <c r="M73" s="41">
        <f>(M14/215223)-1</f>
        <v>-0.8905460847585992</v>
      </c>
      <c r="N73" s="41">
        <f>(N14/223288)-1</f>
        <v>-0.6054870839453979</v>
      </c>
      <c r="O73" s="9">
        <f>(O14/P14)-1</f>
        <v>0.20063913693848878</v>
      </c>
      <c r="P73" s="9">
        <f>(P14/144632)-1</f>
        <v>0.5253194313844793</v>
      </c>
    </row>
    <row r="74" spans="1:16" ht="11.25">
      <c r="A74" s="26" t="s">
        <v>65</v>
      </c>
      <c r="C74" s="41">
        <f aca="true" t="shared" si="25" ref="C74:K75">(C16/G16)-1</f>
        <v>-0.45664476461205716</v>
      </c>
      <c r="D74" s="41">
        <f t="shared" si="25"/>
        <v>-0.3160955189953457</v>
      </c>
      <c r="E74" s="41">
        <f t="shared" si="25"/>
        <v>-0.14579465072909514</v>
      </c>
      <c r="F74" s="42">
        <f t="shared" si="25"/>
        <v>0.031075109773682996</v>
      </c>
      <c r="G74" s="43">
        <f t="shared" si="25"/>
        <v>0.4673620512932948</v>
      </c>
      <c r="H74" s="43">
        <f t="shared" si="25"/>
        <v>0.48423559879777134</v>
      </c>
      <c r="I74" s="43">
        <f t="shared" si="25"/>
        <v>0.43179504482231046</v>
      </c>
      <c r="J74" s="43">
        <f t="shared" si="25"/>
        <v>0.18223827743852294</v>
      </c>
      <c r="K74" s="44">
        <f t="shared" si="25"/>
        <v>-0.5072864172324578</v>
      </c>
      <c r="L74" s="41">
        <f>L16/311784-1</f>
        <v>-0.46003002078361943</v>
      </c>
      <c r="M74" s="41">
        <f>M16/327065-1</f>
        <v>-0.47441334291348813</v>
      </c>
      <c r="N74" s="41">
        <f>N16/323207-1</f>
        <v>-0.43557534335580606</v>
      </c>
      <c r="O74" s="9">
        <f>(O16/P16)-1</f>
        <v>0.13474651327422782</v>
      </c>
      <c r="P74" s="9">
        <f>P16/249609-1</f>
        <v>0.30728058683781434</v>
      </c>
    </row>
    <row r="75" spans="2:16" ht="11.25">
      <c r="B75" s="26" t="s">
        <v>15</v>
      </c>
      <c r="C75" s="41">
        <f t="shared" si="25"/>
        <v>-0.09613084234106872</v>
      </c>
      <c r="D75" s="41">
        <f t="shared" si="25"/>
        <v>0.03862233724865627</v>
      </c>
      <c r="E75" s="41">
        <f t="shared" si="25"/>
        <v>0.3116804168475902</v>
      </c>
      <c r="F75" s="42">
        <f t="shared" si="25"/>
        <v>-0.3868083959930442</v>
      </c>
      <c r="G75" s="43">
        <f t="shared" si="25"/>
        <v>-0.12282274834500262</v>
      </c>
      <c r="H75" s="43">
        <f t="shared" si="25"/>
        <v>-0.016929249437322658</v>
      </c>
      <c r="I75" s="43">
        <f t="shared" si="25"/>
        <v>-0.09483944503399755</v>
      </c>
      <c r="J75" s="43">
        <f t="shared" si="25"/>
        <v>0.2577668930887358</v>
      </c>
      <c r="K75" s="44">
        <f t="shared" si="25"/>
        <v>-0.30709337986463625</v>
      </c>
      <c r="L75" s="41">
        <f>(L17/56935)-1</f>
        <v>-0.2820584877491876</v>
      </c>
      <c r="M75" s="41">
        <f>(M17/65629)-1</f>
        <v>-0.2246415456581694</v>
      </c>
      <c r="N75" s="41">
        <f>(N17/60205)-1</f>
        <v>0.07836558425379958</v>
      </c>
      <c r="O75" s="9">
        <f>(O17/P17)-1</f>
        <v>-0.30928945782582495</v>
      </c>
      <c r="P75" s="9">
        <f>(P17/96953)-1</f>
        <v>0.1296401349107299</v>
      </c>
    </row>
    <row r="76" spans="2:16" ht="11.25">
      <c r="B76" s="26" t="s">
        <v>16</v>
      </c>
      <c r="C76" s="41">
        <f aca="true" t="shared" si="26" ref="C76:K76">(C21/G21)-1</f>
        <v>-0.5314033410304517</v>
      </c>
      <c r="D76" s="41">
        <f t="shared" si="26"/>
        <v>-0.3840709990319181</v>
      </c>
      <c r="E76" s="41">
        <f t="shared" si="26"/>
        <v>-0.25111587618147924</v>
      </c>
      <c r="F76" s="42">
        <f t="shared" si="26"/>
        <v>0.2857036257676495</v>
      </c>
      <c r="G76" s="43">
        <f t="shared" si="26"/>
        <v>0.7052851781209624</v>
      </c>
      <c r="H76" s="43">
        <f t="shared" si="26"/>
        <v>0.6449348122813348</v>
      </c>
      <c r="I76" s="43">
        <f t="shared" si="26"/>
        <v>0.6532413337189604</v>
      </c>
      <c r="J76" s="43">
        <f t="shared" si="26"/>
        <v>0.14050705088380733</v>
      </c>
      <c r="K76" s="44">
        <f t="shared" si="26"/>
        <v>-0.5586871669551641</v>
      </c>
      <c r="L76" s="41">
        <f>(L21/254849)-1</f>
        <v>-0.49979007176798806</v>
      </c>
      <c r="M76" s="41">
        <f>(M21/261436)-1</f>
        <v>-0.5371142459339953</v>
      </c>
      <c r="N76" s="41">
        <f>(N21/263003)-1</f>
        <v>-0.5532256286049969</v>
      </c>
      <c r="O76" s="9">
        <f>(O21/P21)-1</f>
        <v>0.35907595935180625</v>
      </c>
      <c r="P76" s="9">
        <f>(P21/152655)-1</f>
        <v>0.4201107071501098</v>
      </c>
    </row>
    <row r="77" spans="1:16" ht="11.25">
      <c r="A77" s="26" t="s">
        <v>66</v>
      </c>
      <c r="C77" s="41">
        <f aca="true" t="shared" si="27" ref="C77:K77">(C25/G25)-1</f>
        <v>0.9303357776920107</v>
      </c>
      <c r="D77" s="41">
        <f t="shared" si="27"/>
        <v>0.2551123453673314</v>
      </c>
      <c r="E77" s="41">
        <f t="shared" si="27"/>
        <v>0.10276256251488447</v>
      </c>
      <c r="F77" s="42">
        <f t="shared" si="27"/>
        <v>-0.2646652430599171</v>
      </c>
      <c r="G77" s="43">
        <f t="shared" si="27"/>
        <v>-0.3181578947368421</v>
      </c>
      <c r="H77" s="43">
        <f t="shared" si="27"/>
        <v>0.2860389610389611</v>
      </c>
      <c r="I77" s="43">
        <f t="shared" si="27"/>
        <v>0.340676883780332</v>
      </c>
      <c r="J77" s="43">
        <f t="shared" si="27"/>
        <v>0.16286882851300022</v>
      </c>
      <c r="K77" s="44">
        <f t="shared" si="27"/>
        <v>0.1875</v>
      </c>
      <c r="L77" s="41">
        <f>(L25/7275)-1</f>
        <v>-0.15326460481099657</v>
      </c>
      <c r="M77" s="41">
        <f>(M25/6576)-1</f>
        <v>-0.04744525547445255</v>
      </c>
      <c r="N77" s="41">
        <f>(N25/5829)-1</f>
        <v>0.17447246525990745</v>
      </c>
      <c r="O77" s="9">
        <f>(O25/P25)-1</f>
        <v>0.23076923076923084</v>
      </c>
      <c r="P77" s="9">
        <f>(P25/4000)-1</f>
        <v>0.30000000000000004</v>
      </c>
    </row>
    <row r="78" spans="1:16" ht="11.25">
      <c r="A78" s="13" t="s">
        <v>67</v>
      </c>
      <c r="B78" s="13"/>
      <c r="C78" s="45">
        <f aca="true" t="shared" si="28" ref="C78:K78">(C40/G40)-1</f>
        <v>-1.5004166666666667</v>
      </c>
      <c r="D78" s="45">
        <f t="shared" si="28"/>
        <v>2.5434782608695654</v>
      </c>
      <c r="E78" s="45">
        <f t="shared" si="28"/>
        <v>-0.424812030075188</v>
      </c>
      <c r="F78" s="46">
        <f t="shared" si="28"/>
        <v>0.8614958448753463</v>
      </c>
      <c r="G78" s="45">
        <f t="shared" si="28"/>
        <v>-2.422643746295199</v>
      </c>
      <c r="H78" s="45">
        <f t="shared" si="28"/>
        <v>-2.325102880658436</v>
      </c>
      <c r="I78" s="45">
        <f t="shared" si="28"/>
        <v>-6.824817518248175</v>
      </c>
      <c r="J78" s="45">
        <f t="shared" si="28"/>
        <v>-0.18693693693693691</v>
      </c>
      <c r="K78" s="47">
        <f t="shared" si="28"/>
        <v>-0.3125509372453138</v>
      </c>
      <c r="L78" s="45">
        <f>(L40/2061)-1</f>
        <v>-1.1179039301310043</v>
      </c>
      <c r="M78" s="45">
        <f>(M40/1366)-1</f>
        <v>-1.1002928257686677</v>
      </c>
      <c r="N78" s="46">
        <f>(N40/629)-1</f>
        <v>-0.2941176470588235</v>
      </c>
      <c r="O78" s="10">
        <f>(O40/P40)-1</f>
        <v>-0.07326283987915405</v>
      </c>
      <c r="P78" s="10">
        <f>(P40/1855)-1</f>
        <v>0.4274932614555256</v>
      </c>
    </row>
    <row r="79" spans="15:16" ht="11.25">
      <c r="O79" s="5"/>
      <c r="P79" s="5"/>
    </row>
    <row r="80" spans="15:16" ht="11.25">
      <c r="O80" s="5"/>
      <c r="P80" s="5"/>
    </row>
    <row r="81" spans="15:16" ht="11.25">
      <c r="O81" s="5"/>
      <c r="P81" s="5"/>
    </row>
    <row r="82" spans="15:16" ht="11.25">
      <c r="O82" s="5"/>
      <c r="P82" s="5"/>
    </row>
    <row r="83" spans="15:16" ht="11.25">
      <c r="O83" s="5"/>
      <c r="P83" s="5"/>
    </row>
    <row r="84" spans="15:16" ht="11.25">
      <c r="O84" s="5"/>
      <c r="P84" s="5"/>
    </row>
    <row r="85" spans="15:16" ht="11.25">
      <c r="O85" s="5"/>
      <c r="P85" s="5"/>
    </row>
    <row r="86" spans="15:16" ht="11.25">
      <c r="O86" s="5"/>
      <c r="P86" s="5"/>
    </row>
    <row r="87" spans="15:16" ht="11.25">
      <c r="O87" s="5"/>
      <c r="P87" s="5"/>
    </row>
    <row r="88" spans="15:16" ht="11.25">
      <c r="O88" s="5"/>
      <c r="P88" s="5"/>
    </row>
    <row r="89" spans="15:16" ht="11.25">
      <c r="O89" s="5"/>
      <c r="P89" s="5"/>
    </row>
    <row r="90" spans="15:16" ht="11.25">
      <c r="O90" s="5"/>
      <c r="P90" s="5"/>
    </row>
    <row r="91" spans="15:16" ht="11.25">
      <c r="O91" s="5"/>
      <c r="P91" s="5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2017-06-16T16:09:38Z</dcterms:created>
  <dcterms:modified xsi:type="dcterms:W3CDTF">2017-06-16T16:09:41Z</dcterms:modified>
  <cp:category/>
  <cp:version/>
  <cp:contentType/>
  <cp:contentStatus/>
</cp:coreProperties>
</file>