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Unibanca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<sst xmlns="http://schemas.openxmlformats.org/spreadsheetml/2006/main" count="89" uniqueCount="68">
  <si>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18-27</t>
  </si>
  <si>
    <t>UNIBANCA, BANCO UNIVERSAL, C.A.</t>
  </si>
  <si>
    <t>ESTADISTICA FINANCIERA.  TRIMESTRES  2000, 2001Y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</si>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</sst>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3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194" fontId="3" fillId="0" borderId="0" xfId="46" applyNumberFormat="1" applyFont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" sqref="G7:J7"/>
    </sheetView>
  </sheetViews>
  <sheetFormatPr defaultColWidth="11.421875" defaultRowHeight="12.75"/>
  <cols>
    <col min="1" max="1" width="1.28515625" style="2" customWidth="1"/>
    <col min="2" max="2" width="27.28125" style="2" customWidth="1"/>
    <col min="3" max="3" width="8.7109375" style="2" customWidth="1"/>
    <col min="4" max="4" width="7.7109375" style="2" bestFit="1" customWidth="1"/>
    <col min="5" max="5" width="7.8515625" style="2" customWidth="1"/>
    <col min="6" max="6" width="7.57421875" style="2" customWidth="1"/>
    <col min="7" max="7" width="7.7109375" style="2" customWidth="1"/>
    <col min="8" max="8" width="7.7109375" style="2" bestFit="1" customWidth="1"/>
    <col min="9" max="9" width="7.7109375" style="2" customWidth="1"/>
    <col min="10" max="10" width="7.421875" style="2" customWidth="1"/>
    <col min="11" max="11" width="8.421875" style="2" customWidth="1"/>
    <col min="12" max="12" width="8.28125" style="2" customWidth="1"/>
    <col min="13" max="14" width="7.8515625" style="2" customWidth="1"/>
    <col min="15" max="16" width="6.421875" style="2" hidden="1" customWidth="1"/>
    <col min="17" max="17" width="11.421875" style="2" customWidth="1"/>
    <col min="18" max="16384" width="11.421875" style="1" customWidth="1"/>
  </cols>
  <sheetData>
    <row r="1" spans="2:16" ht="11.25">
      <c r="B1" s="51"/>
      <c r="C1" s="51"/>
      <c r="D1" s="51"/>
      <c r="E1" s="51"/>
      <c r="F1" s="51"/>
      <c r="G1" s="51"/>
      <c r="H1" s="51" t="s">
        <v>0</v>
      </c>
      <c r="I1" s="51"/>
      <c r="J1" s="51"/>
      <c r="K1" s="51"/>
      <c r="L1" s="51"/>
      <c r="M1" s="51"/>
      <c r="N1" s="51"/>
      <c r="O1" s="51"/>
      <c r="P1" s="51"/>
    </row>
    <row r="2" spans="2:16" ht="11.25">
      <c r="B2" s="51"/>
      <c r="C2" s="51"/>
      <c r="D2" s="51"/>
      <c r="E2" s="51"/>
      <c r="F2" s="51"/>
      <c r="G2" s="51"/>
      <c r="H2" s="51" t="s">
        <v>1</v>
      </c>
      <c r="I2" s="51"/>
      <c r="J2" s="51"/>
      <c r="K2" s="51"/>
      <c r="L2" s="51"/>
      <c r="M2" s="51"/>
      <c r="N2" s="51"/>
      <c r="O2" s="51"/>
      <c r="P2" s="51"/>
    </row>
    <row r="3" spans="2:16" ht="11.25">
      <c r="B3" s="51"/>
      <c r="C3" s="51"/>
      <c r="D3" s="51"/>
      <c r="E3" s="51"/>
      <c r="F3" s="51"/>
      <c r="G3" s="51"/>
      <c r="H3" s="51" t="s">
        <v>2</v>
      </c>
      <c r="I3" s="51"/>
      <c r="J3" s="51"/>
      <c r="K3" s="51"/>
      <c r="L3" s="51"/>
      <c r="M3" s="51"/>
      <c r="N3" s="51"/>
      <c r="O3" s="51"/>
      <c r="P3" s="51"/>
    </row>
    <row r="4" spans="1:16" ht="11.25">
      <c r="A4" s="1"/>
      <c r="B4" s="50"/>
      <c r="C4" s="50"/>
      <c r="D4" s="50"/>
      <c r="E4" s="50"/>
      <c r="F4" s="50"/>
      <c r="G4" s="50"/>
      <c r="H4" s="50" t="s">
        <v>3</v>
      </c>
      <c r="I4" s="50"/>
      <c r="J4" s="50"/>
      <c r="K4" s="50"/>
      <c r="L4" s="50"/>
      <c r="M4" s="50"/>
      <c r="N4" s="50"/>
      <c r="O4" s="50"/>
      <c r="P4" s="50"/>
    </row>
    <row r="5" spans="1:16" ht="11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3">
        <v>2002</v>
      </c>
      <c r="D7" s="53"/>
      <c r="E7" s="53"/>
      <c r="F7" s="54"/>
      <c r="G7" s="53">
        <v>2001</v>
      </c>
      <c r="H7" s="53"/>
      <c r="I7" s="53"/>
      <c r="J7" s="53"/>
      <c r="K7" s="52">
        <v>2000</v>
      </c>
      <c r="L7" s="53"/>
      <c r="M7" s="53"/>
      <c r="N7" s="53"/>
      <c r="O7" s="53" t="s">
        <v>4</v>
      </c>
      <c r="P7" s="53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7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5"/>
      <c r="K9" s="16"/>
      <c r="L9" s="17"/>
      <c r="M9" s="17"/>
      <c r="N9" s="17"/>
      <c r="O9" s="15"/>
      <c r="P9" s="15"/>
    </row>
    <row r="10" spans="1:16" ht="11.25">
      <c r="A10" s="2" t="s">
        <v>12</v>
      </c>
      <c r="C10" s="18">
        <v>226518</v>
      </c>
      <c r="D10" s="18">
        <v>200708</v>
      </c>
      <c r="E10" s="19">
        <v>179667</v>
      </c>
      <c r="F10" s="20">
        <v>210258</v>
      </c>
      <c r="G10" s="18">
        <v>207593</v>
      </c>
      <c r="H10" s="18">
        <v>189354</v>
      </c>
      <c r="I10" s="18">
        <v>185209</v>
      </c>
      <c r="J10" s="18">
        <v>172498</v>
      </c>
      <c r="K10" s="21">
        <v>208632</v>
      </c>
      <c r="L10" s="19">
        <v>168946</v>
      </c>
      <c r="M10" s="19">
        <v>160837</v>
      </c>
      <c r="N10" s="19">
        <v>166371</v>
      </c>
      <c r="O10" s="18">
        <v>146638</v>
      </c>
      <c r="P10" s="18">
        <v>115116</v>
      </c>
    </row>
    <row r="11" spans="1:16" ht="11.25">
      <c r="A11" s="2" t="s">
        <v>13</v>
      </c>
      <c r="C11" s="18">
        <v>113195</v>
      </c>
      <c r="D11" s="18">
        <v>93243</v>
      </c>
      <c r="E11" s="19">
        <v>73520</v>
      </c>
      <c r="F11" s="20">
        <v>52907</v>
      </c>
      <c r="G11" s="18">
        <v>50607</v>
      </c>
      <c r="H11" s="18">
        <v>29159</v>
      </c>
      <c r="I11" s="18">
        <v>35078</v>
      </c>
      <c r="J11" s="18">
        <v>28958</v>
      </c>
      <c r="K11" s="21">
        <v>63795</v>
      </c>
      <c r="L11" s="19">
        <v>30456</v>
      </c>
      <c r="M11" s="19">
        <v>29897</v>
      </c>
      <c r="N11" s="19">
        <v>31215</v>
      </c>
      <c r="O11" s="18">
        <v>44560</v>
      </c>
      <c r="P11" s="18">
        <v>9799</v>
      </c>
    </row>
    <row r="12" spans="1:16" ht="11.25">
      <c r="A12" s="2" t="s">
        <v>14</v>
      </c>
      <c r="C12" s="19">
        <f aca="true" t="shared" si="0" ref="C12:P12">C13+C14</f>
        <v>27224</v>
      </c>
      <c r="D12" s="19">
        <f t="shared" si="0"/>
        <v>30077</v>
      </c>
      <c r="E12" s="19">
        <f t="shared" si="0"/>
        <v>30292</v>
      </c>
      <c r="F12" s="20">
        <f t="shared" si="0"/>
        <v>66919</v>
      </c>
      <c r="G12" s="18">
        <f t="shared" si="0"/>
        <v>69657</v>
      </c>
      <c r="H12" s="18">
        <f t="shared" si="0"/>
        <v>62537</v>
      </c>
      <c r="I12" s="18">
        <f t="shared" si="0"/>
        <v>61611</v>
      </c>
      <c r="J12" s="18">
        <f t="shared" si="0"/>
        <v>53248</v>
      </c>
      <c r="K12" s="21">
        <f t="shared" si="0"/>
        <v>45308</v>
      </c>
      <c r="L12" s="19">
        <f t="shared" si="0"/>
        <v>43390</v>
      </c>
      <c r="M12" s="19">
        <f t="shared" si="0"/>
        <v>44606</v>
      </c>
      <c r="N12" s="19">
        <f t="shared" si="0"/>
        <v>34409</v>
      </c>
      <c r="O12" s="18">
        <f t="shared" si="0"/>
        <v>6161</v>
      </c>
      <c r="P12" s="18">
        <f t="shared" si="0"/>
        <v>13540</v>
      </c>
    </row>
    <row r="13" spans="2:16" ht="11.25">
      <c r="B13" s="2" t="s">
        <v>15</v>
      </c>
      <c r="C13" s="18">
        <v>0</v>
      </c>
      <c r="D13" s="18">
        <v>0</v>
      </c>
      <c r="E13" s="19">
        <v>0</v>
      </c>
      <c r="F13" s="20">
        <v>0</v>
      </c>
      <c r="G13" s="18">
        <v>0</v>
      </c>
      <c r="H13" s="18">
        <v>0</v>
      </c>
      <c r="I13" s="18">
        <v>0</v>
      </c>
      <c r="J13" s="18">
        <v>0</v>
      </c>
      <c r="K13" s="21">
        <v>0</v>
      </c>
      <c r="L13" s="19">
        <v>0</v>
      </c>
      <c r="M13" s="19">
        <v>0</v>
      </c>
      <c r="N13" s="19">
        <v>0</v>
      </c>
      <c r="O13" s="18">
        <v>0</v>
      </c>
      <c r="P13" s="18">
        <v>527</v>
      </c>
    </row>
    <row r="14" spans="2:16" ht="11.25">
      <c r="B14" s="2" t="s">
        <v>16</v>
      </c>
      <c r="C14" s="18">
        <v>27224</v>
      </c>
      <c r="D14" s="18">
        <v>30077</v>
      </c>
      <c r="E14" s="19">
        <v>30292</v>
      </c>
      <c r="F14" s="20">
        <v>66919</v>
      </c>
      <c r="G14" s="18">
        <v>69657</v>
      </c>
      <c r="H14" s="18">
        <v>62537</v>
      </c>
      <c r="I14" s="18">
        <v>61611</v>
      </c>
      <c r="J14" s="18">
        <v>53248</v>
      </c>
      <c r="K14" s="21">
        <v>45308</v>
      </c>
      <c r="L14" s="19">
        <v>43390</v>
      </c>
      <c r="M14" s="19">
        <v>44606</v>
      </c>
      <c r="N14" s="19">
        <v>34409</v>
      </c>
      <c r="O14" s="18">
        <v>6161</v>
      </c>
      <c r="P14" s="18">
        <v>13013</v>
      </c>
    </row>
    <row r="15" spans="1:16" ht="11.25">
      <c r="A15" s="2" t="s">
        <v>17</v>
      </c>
      <c r="C15" s="18">
        <v>78987</v>
      </c>
      <c r="D15" s="18">
        <v>65384</v>
      </c>
      <c r="E15" s="19">
        <v>62339</v>
      </c>
      <c r="F15" s="20">
        <v>81473</v>
      </c>
      <c r="G15" s="18">
        <v>81225</v>
      </c>
      <c r="H15" s="18">
        <v>92076</v>
      </c>
      <c r="I15" s="18">
        <v>85343</v>
      </c>
      <c r="J15" s="18">
        <v>85930</v>
      </c>
      <c r="K15" s="21">
        <v>87609</v>
      </c>
      <c r="L15" s="19">
        <v>82822</v>
      </c>
      <c r="M15" s="19">
        <v>75567</v>
      </c>
      <c r="N15" s="19">
        <v>76412</v>
      </c>
      <c r="O15" s="18">
        <v>76411</v>
      </c>
      <c r="P15" s="18">
        <v>78113</v>
      </c>
    </row>
    <row r="16" spans="1:16" ht="11.25">
      <c r="A16" s="2" t="s">
        <v>18</v>
      </c>
      <c r="C16" s="19">
        <f aca="true" t="shared" si="1" ref="C16:P16">C17+C21</f>
        <v>147495</v>
      </c>
      <c r="D16" s="19">
        <f t="shared" si="1"/>
        <v>125733</v>
      </c>
      <c r="E16" s="19">
        <f t="shared" si="1"/>
        <v>113438</v>
      </c>
      <c r="F16" s="20">
        <f t="shared" si="1"/>
        <v>118963</v>
      </c>
      <c r="G16" s="18">
        <f t="shared" si="1"/>
        <v>126038</v>
      </c>
      <c r="H16" s="18">
        <f t="shared" si="1"/>
        <v>107661</v>
      </c>
      <c r="I16" s="18">
        <f t="shared" si="1"/>
        <v>106737</v>
      </c>
      <c r="J16" s="18">
        <f t="shared" si="1"/>
        <v>89859</v>
      </c>
      <c r="K16" s="21">
        <f t="shared" si="1"/>
        <v>127436</v>
      </c>
      <c r="L16" s="19">
        <f t="shared" si="1"/>
        <v>82592</v>
      </c>
      <c r="M16" s="19">
        <f t="shared" si="1"/>
        <v>76277</v>
      </c>
      <c r="N16" s="19">
        <f t="shared" si="1"/>
        <v>77662</v>
      </c>
      <c r="O16" s="18">
        <f t="shared" si="1"/>
        <v>67507</v>
      </c>
      <c r="P16" s="18">
        <f t="shared" si="1"/>
        <v>38724</v>
      </c>
    </row>
    <row r="17" spans="2:16" ht="11.25">
      <c r="B17" s="2" t="s">
        <v>15</v>
      </c>
      <c r="C17" s="19">
        <f aca="true" t="shared" si="2" ref="C17:P17">SUM(C18:C20)</f>
        <v>0</v>
      </c>
      <c r="D17" s="19">
        <f t="shared" si="2"/>
        <v>0</v>
      </c>
      <c r="E17" s="19">
        <f t="shared" si="2"/>
        <v>0</v>
      </c>
      <c r="F17" s="20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21">
        <f t="shared" si="2"/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8">
        <f t="shared" si="2"/>
        <v>0</v>
      </c>
      <c r="P17" s="18">
        <f t="shared" si="2"/>
        <v>0</v>
      </c>
    </row>
    <row r="18" spans="2:16" ht="11.25">
      <c r="B18" s="2" t="s">
        <v>19</v>
      </c>
      <c r="C18" s="18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2" t="s">
        <v>20</v>
      </c>
      <c r="C19" s="18">
        <v>0</v>
      </c>
      <c r="D19" s="19">
        <v>0</v>
      </c>
      <c r="E19" s="19">
        <v>0</v>
      </c>
      <c r="F19" s="20">
        <v>0</v>
      </c>
      <c r="G19" s="18">
        <v>0</v>
      </c>
      <c r="H19" s="18">
        <v>0</v>
      </c>
      <c r="I19" s="18">
        <v>0</v>
      </c>
      <c r="J19" s="18">
        <v>0</v>
      </c>
      <c r="K19" s="21">
        <v>0</v>
      </c>
      <c r="L19" s="19">
        <v>0</v>
      </c>
      <c r="M19" s="19">
        <v>0</v>
      </c>
      <c r="N19" s="19">
        <v>0</v>
      </c>
      <c r="O19" s="18">
        <v>0</v>
      </c>
      <c r="P19" s="18">
        <v>0</v>
      </c>
    </row>
    <row r="20" spans="2:16" ht="11.25">
      <c r="B20" s="2" t="s">
        <v>21</v>
      </c>
      <c r="C20" s="18">
        <v>0</v>
      </c>
      <c r="D20" s="19">
        <v>0</v>
      </c>
      <c r="E20" s="19">
        <v>0</v>
      </c>
      <c r="F20" s="20">
        <v>0</v>
      </c>
      <c r="G20" s="18">
        <v>0</v>
      </c>
      <c r="H20" s="18">
        <v>0</v>
      </c>
      <c r="I20" s="18">
        <v>0</v>
      </c>
      <c r="J20" s="18">
        <v>0</v>
      </c>
      <c r="K20" s="21">
        <v>0</v>
      </c>
      <c r="L20" s="19">
        <v>0</v>
      </c>
      <c r="M20" s="19">
        <v>0</v>
      </c>
      <c r="N20" s="19">
        <v>0</v>
      </c>
      <c r="O20" s="18">
        <v>0</v>
      </c>
      <c r="P20" s="18">
        <v>0</v>
      </c>
    </row>
    <row r="21" spans="2:16" ht="11.25">
      <c r="B21" s="2" t="s">
        <v>16</v>
      </c>
      <c r="C21" s="19">
        <f>SUM(C22:C24)</f>
        <v>147495</v>
      </c>
      <c r="D21" s="19">
        <f aca="true" t="shared" si="3" ref="D21:P21">SUM(D23:D24)</f>
        <v>125733</v>
      </c>
      <c r="E21" s="19">
        <f t="shared" si="3"/>
        <v>113438</v>
      </c>
      <c r="F21" s="20">
        <f t="shared" si="3"/>
        <v>118963</v>
      </c>
      <c r="G21" s="18">
        <f t="shared" si="3"/>
        <v>126038</v>
      </c>
      <c r="H21" s="18">
        <f t="shared" si="3"/>
        <v>107661</v>
      </c>
      <c r="I21" s="18">
        <f t="shared" si="3"/>
        <v>106737</v>
      </c>
      <c r="J21" s="18">
        <f t="shared" si="3"/>
        <v>89859</v>
      </c>
      <c r="K21" s="21">
        <f t="shared" si="3"/>
        <v>127436</v>
      </c>
      <c r="L21" s="19">
        <f t="shared" si="3"/>
        <v>82592</v>
      </c>
      <c r="M21" s="19">
        <f t="shared" si="3"/>
        <v>76277</v>
      </c>
      <c r="N21" s="19">
        <f t="shared" si="3"/>
        <v>77662</v>
      </c>
      <c r="O21" s="18">
        <f t="shared" si="3"/>
        <v>67507</v>
      </c>
      <c r="P21" s="18">
        <f t="shared" si="3"/>
        <v>38724</v>
      </c>
    </row>
    <row r="22" spans="2:16" ht="11.25">
      <c r="B22" s="2" t="s">
        <v>19</v>
      </c>
      <c r="C22" s="19">
        <v>0</v>
      </c>
      <c r="D22" s="19">
        <v>0</v>
      </c>
      <c r="E22" s="19">
        <v>0</v>
      </c>
      <c r="F22" s="20">
        <v>0</v>
      </c>
      <c r="G22" s="18">
        <v>0</v>
      </c>
      <c r="H22" s="18">
        <v>0</v>
      </c>
      <c r="I22" s="18">
        <v>0</v>
      </c>
      <c r="J22" s="18">
        <v>0</v>
      </c>
      <c r="K22" s="21">
        <v>0</v>
      </c>
      <c r="L22" s="19">
        <v>0</v>
      </c>
      <c r="M22" s="19">
        <v>0</v>
      </c>
      <c r="N22" s="19">
        <v>0</v>
      </c>
      <c r="O22" s="18"/>
      <c r="P22" s="18"/>
    </row>
    <row r="23" spans="2:16" ht="11.25">
      <c r="B23" s="2" t="s">
        <v>20</v>
      </c>
      <c r="C23" s="18">
        <v>64287</v>
      </c>
      <c r="D23" s="18">
        <v>56695</v>
      </c>
      <c r="E23" s="19">
        <v>68880</v>
      </c>
      <c r="F23" s="20">
        <v>43091</v>
      </c>
      <c r="G23" s="18">
        <v>43133</v>
      </c>
      <c r="H23" s="18">
        <v>47351</v>
      </c>
      <c r="I23" s="18">
        <v>33945</v>
      </c>
      <c r="J23" s="18">
        <v>23339</v>
      </c>
      <c r="K23" s="21">
        <v>7634</v>
      </c>
      <c r="L23" s="19">
        <v>16567</v>
      </c>
      <c r="M23" s="19">
        <v>7351</v>
      </c>
      <c r="N23" s="19">
        <v>5915</v>
      </c>
      <c r="O23" s="18">
        <v>3213</v>
      </c>
      <c r="P23" s="18">
        <v>2735</v>
      </c>
    </row>
    <row r="24" spans="2:16" ht="11.25">
      <c r="B24" s="2" t="s">
        <v>21</v>
      </c>
      <c r="C24" s="18">
        <v>83208</v>
      </c>
      <c r="D24" s="18">
        <f>69033+5</f>
        <v>69038</v>
      </c>
      <c r="E24" s="19">
        <v>44558</v>
      </c>
      <c r="F24" s="20">
        <f>2+62+75808</f>
        <v>75872</v>
      </c>
      <c r="G24" s="18">
        <v>82905</v>
      </c>
      <c r="H24" s="18">
        <v>60310</v>
      </c>
      <c r="I24" s="18">
        <v>72792</v>
      </c>
      <c r="J24" s="18">
        <v>66520</v>
      </c>
      <c r="K24" s="21">
        <v>119802</v>
      </c>
      <c r="L24" s="19">
        <v>66025</v>
      </c>
      <c r="M24" s="19">
        <v>68926</v>
      </c>
      <c r="N24" s="19">
        <v>71747</v>
      </c>
      <c r="O24" s="18">
        <v>64294</v>
      </c>
      <c r="P24" s="18">
        <v>35989</v>
      </c>
    </row>
    <row r="25" spans="1:16" ht="11.25">
      <c r="A25" s="3" t="s">
        <v>22</v>
      </c>
      <c r="B25" s="3"/>
      <c r="C25" s="22">
        <v>33920</v>
      </c>
      <c r="D25" s="22">
        <v>36101</v>
      </c>
      <c r="E25" s="22">
        <v>28929</v>
      </c>
      <c r="F25" s="23">
        <v>29370</v>
      </c>
      <c r="G25" s="22">
        <v>27034</v>
      </c>
      <c r="H25" s="22">
        <v>24880</v>
      </c>
      <c r="I25" s="22">
        <v>24417</v>
      </c>
      <c r="J25" s="22">
        <v>23944</v>
      </c>
      <c r="K25" s="24">
        <v>39492</v>
      </c>
      <c r="L25" s="22">
        <v>39127</v>
      </c>
      <c r="M25" s="22">
        <v>38679</v>
      </c>
      <c r="N25" s="22">
        <v>47026</v>
      </c>
      <c r="O25" s="22">
        <v>46385</v>
      </c>
      <c r="P25" s="22">
        <v>45377</v>
      </c>
    </row>
    <row r="26" spans="1:16" ht="11.25">
      <c r="A26" s="12" t="s">
        <v>23</v>
      </c>
      <c r="E26" s="19"/>
      <c r="F26" s="25"/>
      <c r="H26" s="18"/>
      <c r="J26" s="18"/>
      <c r="K26" s="21"/>
      <c r="L26" s="19"/>
      <c r="M26" s="19"/>
      <c r="N26" s="19"/>
      <c r="O26" s="18"/>
      <c r="P26" s="18"/>
    </row>
    <row r="27" spans="1:16" ht="11.25">
      <c r="A27" s="2" t="s">
        <v>12</v>
      </c>
      <c r="C27" s="19">
        <f aca="true" t="shared" si="4" ref="C27:K27">(C10+G10)/2</f>
        <v>217055.5</v>
      </c>
      <c r="D27" s="19">
        <f t="shared" si="4"/>
        <v>195031</v>
      </c>
      <c r="E27" s="19">
        <f t="shared" si="4"/>
        <v>182438</v>
      </c>
      <c r="F27" s="20">
        <f t="shared" si="4"/>
        <v>191378</v>
      </c>
      <c r="G27" s="18">
        <f t="shared" si="4"/>
        <v>208112.5</v>
      </c>
      <c r="H27" s="18">
        <f t="shared" si="4"/>
        <v>179150</v>
      </c>
      <c r="I27" s="18">
        <f t="shared" si="4"/>
        <v>173023</v>
      </c>
      <c r="J27" s="18">
        <f t="shared" si="4"/>
        <v>169434.5</v>
      </c>
      <c r="K27" s="21">
        <f t="shared" si="4"/>
        <v>177635</v>
      </c>
      <c r="L27" s="19">
        <f>(L10+119624)/2</f>
        <v>144285</v>
      </c>
      <c r="M27" s="19">
        <f>(M10+116994)/2</f>
        <v>138915.5</v>
      </c>
      <c r="N27" s="19">
        <f>(N10+121297)/2</f>
        <v>143834</v>
      </c>
      <c r="O27" s="18">
        <f>(O10+P10)/2</f>
        <v>130877</v>
      </c>
      <c r="P27" s="18">
        <f>(P10+113012)/2</f>
        <v>114064</v>
      </c>
    </row>
    <row r="28" spans="1:16" ht="11.25">
      <c r="A28" s="2" t="s">
        <v>24</v>
      </c>
      <c r="C28" s="19">
        <f aca="true" t="shared" si="5" ref="C28:P28">C29+C30</f>
        <v>128546.5</v>
      </c>
      <c r="D28" s="19">
        <f t="shared" si="5"/>
        <v>125037</v>
      </c>
      <c r="E28" s="19">
        <f t="shared" si="5"/>
        <v>119792.5</v>
      </c>
      <c r="F28" s="20">
        <f t="shared" si="5"/>
        <v>143785</v>
      </c>
      <c r="G28" s="18">
        <f t="shared" si="5"/>
        <v>141899.5</v>
      </c>
      <c r="H28" s="18">
        <f t="shared" si="5"/>
        <v>140412.5</v>
      </c>
      <c r="I28" s="18">
        <f t="shared" si="5"/>
        <v>133563.5</v>
      </c>
      <c r="J28" s="18">
        <f t="shared" si="5"/>
        <v>124999.5</v>
      </c>
      <c r="K28" s="21">
        <f t="shared" si="5"/>
        <v>107744.5</v>
      </c>
      <c r="L28" s="19">
        <f t="shared" si="5"/>
        <v>107356.5</v>
      </c>
      <c r="M28" s="19">
        <f t="shared" si="5"/>
        <v>104588</v>
      </c>
      <c r="N28" s="19">
        <f t="shared" si="5"/>
        <v>104346.5</v>
      </c>
      <c r="O28" s="18">
        <f t="shared" si="5"/>
        <v>87112.5</v>
      </c>
      <c r="P28" s="18">
        <f t="shared" si="5"/>
        <v>95119.5</v>
      </c>
    </row>
    <row r="29" spans="2:16" ht="11.25">
      <c r="B29" s="2" t="s">
        <v>14</v>
      </c>
      <c r="C29" s="19">
        <f aca="true" t="shared" si="6" ref="C29:K29">(C12+G12)/2</f>
        <v>48440.5</v>
      </c>
      <c r="D29" s="19">
        <f t="shared" si="6"/>
        <v>46307</v>
      </c>
      <c r="E29" s="19">
        <f t="shared" si="6"/>
        <v>45951.5</v>
      </c>
      <c r="F29" s="20">
        <f t="shared" si="6"/>
        <v>60083.5</v>
      </c>
      <c r="G29" s="18">
        <f t="shared" si="6"/>
        <v>57482.5</v>
      </c>
      <c r="H29" s="18">
        <f t="shared" si="6"/>
        <v>52963.5</v>
      </c>
      <c r="I29" s="18">
        <f t="shared" si="6"/>
        <v>53108.5</v>
      </c>
      <c r="J29" s="18">
        <f t="shared" si="6"/>
        <v>43828.5</v>
      </c>
      <c r="K29" s="21">
        <f t="shared" si="6"/>
        <v>25734.5</v>
      </c>
      <c r="L29" s="19">
        <f>(L12+11232)/2</f>
        <v>27311</v>
      </c>
      <c r="M29" s="19">
        <f>(M12+11735)/2</f>
        <v>28170.5</v>
      </c>
      <c r="N29" s="19">
        <f>(N12+19759)/2</f>
        <v>27084</v>
      </c>
      <c r="O29" s="18">
        <f>(O12+P12)/2</f>
        <v>9850.5</v>
      </c>
      <c r="P29" s="18">
        <f>(P12+18770)/2</f>
        <v>16155</v>
      </c>
    </row>
    <row r="30" spans="2:16" ht="11.25">
      <c r="B30" s="2" t="s">
        <v>17</v>
      </c>
      <c r="C30" s="19">
        <f aca="true" t="shared" si="7" ref="C30:K30">(C15+G15)/2</f>
        <v>80106</v>
      </c>
      <c r="D30" s="19">
        <f t="shared" si="7"/>
        <v>78730</v>
      </c>
      <c r="E30" s="19">
        <f t="shared" si="7"/>
        <v>73841</v>
      </c>
      <c r="F30" s="20">
        <f t="shared" si="7"/>
        <v>83701.5</v>
      </c>
      <c r="G30" s="18">
        <f t="shared" si="7"/>
        <v>84417</v>
      </c>
      <c r="H30" s="18">
        <f t="shared" si="7"/>
        <v>87449</v>
      </c>
      <c r="I30" s="18">
        <f t="shared" si="7"/>
        <v>80455</v>
      </c>
      <c r="J30" s="18">
        <f t="shared" si="7"/>
        <v>81171</v>
      </c>
      <c r="K30" s="21">
        <f t="shared" si="7"/>
        <v>82010</v>
      </c>
      <c r="L30" s="19">
        <f>(L15+77269)/2</f>
        <v>80045.5</v>
      </c>
      <c r="M30" s="19">
        <f>(M15+77268)/2</f>
        <v>76417.5</v>
      </c>
      <c r="N30" s="19">
        <f>(N15+78113)/2</f>
        <v>77262.5</v>
      </c>
      <c r="O30" s="18">
        <f>(O15+P15)/2</f>
        <v>77262</v>
      </c>
      <c r="P30" s="18">
        <f>(P15+79816)/2</f>
        <v>78964.5</v>
      </c>
    </row>
    <row r="31" spans="1:16" ht="11.25">
      <c r="A31" s="3" t="s">
        <v>22</v>
      </c>
      <c r="B31" s="3"/>
      <c r="C31" s="22">
        <f aca="true" t="shared" si="8" ref="C31:K31">(C25+G25)/2</f>
        <v>30477</v>
      </c>
      <c r="D31" s="22">
        <f t="shared" si="8"/>
        <v>30490.5</v>
      </c>
      <c r="E31" s="22">
        <f t="shared" si="8"/>
        <v>26673</v>
      </c>
      <c r="F31" s="23">
        <f t="shared" si="8"/>
        <v>26657</v>
      </c>
      <c r="G31" s="22">
        <f t="shared" si="8"/>
        <v>33263</v>
      </c>
      <c r="H31" s="22">
        <f t="shared" si="8"/>
        <v>32003.5</v>
      </c>
      <c r="I31" s="22">
        <f t="shared" si="8"/>
        <v>31548</v>
      </c>
      <c r="J31" s="22">
        <f t="shared" si="8"/>
        <v>35485</v>
      </c>
      <c r="K31" s="24">
        <f t="shared" si="8"/>
        <v>42938.5</v>
      </c>
      <c r="L31" s="22">
        <f>(L25+45809)/2</f>
        <v>42468</v>
      </c>
      <c r="M31" s="22">
        <f>(M25+45377)/2</f>
        <v>42028</v>
      </c>
      <c r="N31" s="22">
        <f>(N25+45827)/2</f>
        <v>46426.5</v>
      </c>
      <c r="O31" s="22">
        <f>(O25+P25)/2</f>
        <v>45881</v>
      </c>
      <c r="P31" s="22">
        <f>(P25+44910)/2</f>
        <v>45143.5</v>
      </c>
    </row>
    <row r="32" spans="1:14" ht="11.25">
      <c r="A32" s="12" t="s">
        <v>25</v>
      </c>
      <c r="E32" s="19"/>
      <c r="F32" s="25"/>
      <c r="H32" s="18"/>
      <c r="J32" s="18"/>
      <c r="K32" s="26"/>
      <c r="L32" s="4"/>
      <c r="M32" s="4"/>
      <c r="N32" s="4"/>
    </row>
    <row r="33" spans="1:16" ht="11.25">
      <c r="A33" s="2" t="s">
        <v>26</v>
      </c>
      <c r="C33" s="18">
        <f>D33+2703</f>
        <v>10381</v>
      </c>
      <c r="D33" s="18">
        <f>E33+2451</f>
        <v>7678</v>
      </c>
      <c r="E33" s="19">
        <f>F33+2152</f>
        <v>5227</v>
      </c>
      <c r="F33" s="27">
        <v>3075</v>
      </c>
      <c r="G33" s="28">
        <v>13358</v>
      </c>
      <c r="H33" s="18">
        <f>I33+3296</f>
        <v>9965</v>
      </c>
      <c r="I33" s="18">
        <f>J33+3235</f>
        <v>6669</v>
      </c>
      <c r="J33" s="18">
        <v>3434</v>
      </c>
      <c r="K33" s="21">
        <f>3325+L33</f>
        <v>11775</v>
      </c>
      <c r="L33" s="19">
        <f>3079+M33</f>
        <v>8450</v>
      </c>
      <c r="M33" s="19">
        <f>2850+N33</f>
        <v>5371</v>
      </c>
      <c r="N33" s="19">
        <v>2521</v>
      </c>
      <c r="O33" s="18">
        <v>6757</v>
      </c>
      <c r="P33" s="18">
        <v>6651</v>
      </c>
    </row>
    <row r="34" spans="1:16" ht="11.25">
      <c r="A34" s="2" t="s">
        <v>27</v>
      </c>
      <c r="C34" s="18">
        <f>D34+2825</f>
        <v>11343</v>
      </c>
      <c r="D34" s="18">
        <f>E34+2824</f>
        <v>8518</v>
      </c>
      <c r="E34" s="19">
        <f>F34+2879</f>
        <v>5694</v>
      </c>
      <c r="F34" s="27">
        <v>2815</v>
      </c>
      <c r="G34" s="28">
        <v>10212</v>
      </c>
      <c r="H34" s="18">
        <f>I34+2884</f>
        <v>7448</v>
      </c>
      <c r="I34" s="18">
        <f>J34+2410</f>
        <v>4564</v>
      </c>
      <c r="J34" s="18">
        <v>2154</v>
      </c>
      <c r="K34" s="21">
        <f>2203+L34</f>
        <v>7788</v>
      </c>
      <c r="L34" s="19">
        <f>2008+M34</f>
        <v>5585</v>
      </c>
      <c r="M34" s="19">
        <f>1860+N34</f>
        <v>3577</v>
      </c>
      <c r="N34" s="19">
        <v>1717</v>
      </c>
      <c r="O34" s="18">
        <v>4330</v>
      </c>
      <c r="P34" s="18">
        <v>4888</v>
      </c>
    </row>
    <row r="35" spans="1:16" ht="11.25">
      <c r="A35" s="2" t="s">
        <v>28</v>
      </c>
      <c r="C35" s="19">
        <f>C33-C34</f>
        <v>-962</v>
      </c>
      <c r="D35" s="19">
        <f>D33-D34</f>
        <v>-840</v>
      </c>
      <c r="E35" s="19">
        <f>260-727</f>
        <v>-467</v>
      </c>
      <c r="F35" s="20">
        <f aca="true" t="shared" si="9" ref="F35:P35">F33-F34</f>
        <v>260</v>
      </c>
      <c r="G35" s="18">
        <f t="shared" si="9"/>
        <v>3146</v>
      </c>
      <c r="H35" s="18">
        <f t="shared" si="9"/>
        <v>2517</v>
      </c>
      <c r="I35" s="18">
        <f t="shared" si="9"/>
        <v>2105</v>
      </c>
      <c r="J35" s="18">
        <f t="shared" si="9"/>
        <v>1280</v>
      </c>
      <c r="K35" s="21">
        <f t="shared" si="9"/>
        <v>3987</v>
      </c>
      <c r="L35" s="19">
        <f t="shared" si="9"/>
        <v>2865</v>
      </c>
      <c r="M35" s="19">
        <f t="shared" si="9"/>
        <v>1794</v>
      </c>
      <c r="N35" s="19">
        <f t="shared" si="9"/>
        <v>804</v>
      </c>
      <c r="O35" s="18">
        <f t="shared" si="9"/>
        <v>2427</v>
      </c>
      <c r="P35" s="18">
        <f t="shared" si="9"/>
        <v>1763</v>
      </c>
    </row>
    <row r="36" spans="1:16" ht="11.25">
      <c r="A36" s="2" t="s">
        <v>29</v>
      </c>
      <c r="C36" s="18">
        <f>D36+6273</f>
        <v>50501</v>
      </c>
      <c r="D36" s="18">
        <f>E36+12228</f>
        <v>44228</v>
      </c>
      <c r="E36" s="19">
        <f>F36+15726</f>
        <v>32000</v>
      </c>
      <c r="F36" s="27">
        <v>16274</v>
      </c>
      <c r="G36" s="28">
        <v>5780</v>
      </c>
      <c r="H36" s="18">
        <f>I36+255</f>
        <v>299</v>
      </c>
      <c r="I36" s="18">
        <f>J36+40</f>
        <v>44</v>
      </c>
      <c r="J36" s="18">
        <v>4</v>
      </c>
      <c r="K36" s="21">
        <f>1198+L36</f>
        <v>3353</v>
      </c>
      <c r="L36" s="19">
        <f>1+M36</f>
        <v>2155</v>
      </c>
      <c r="M36" s="19">
        <f>2150+N36</f>
        <v>2154</v>
      </c>
      <c r="N36" s="19">
        <v>4</v>
      </c>
      <c r="O36" s="18">
        <v>2291</v>
      </c>
      <c r="P36" s="18">
        <v>30</v>
      </c>
    </row>
    <row r="37" spans="1:16" ht="11.25">
      <c r="A37" s="2" t="s">
        <v>30</v>
      </c>
      <c r="C37" s="19">
        <f aca="true" t="shared" si="10" ref="C37:P37">C35+C36</f>
        <v>49539</v>
      </c>
      <c r="D37" s="19">
        <f t="shared" si="10"/>
        <v>43388</v>
      </c>
      <c r="E37" s="19">
        <f t="shared" si="10"/>
        <v>31533</v>
      </c>
      <c r="F37" s="20">
        <f t="shared" si="10"/>
        <v>16534</v>
      </c>
      <c r="G37" s="18">
        <f t="shared" si="10"/>
        <v>8926</v>
      </c>
      <c r="H37" s="18">
        <f t="shared" si="10"/>
        <v>2816</v>
      </c>
      <c r="I37" s="18">
        <f t="shared" si="10"/>
        <v>2149</v>
      </c>
      <c r="J37" s="18">
        <f t="shared" si="10"/>
        <v>1284</v>
      </c>
      <c r="K37" s="21">
        <f t="shared" si="10"/>
        <v>7340</v>
      </c>
      <c r="L37" s="19">
        <f t="shared" si="10"/>
        <v>5020</v>
      </c>
      <c r="M37" s="19">
        <f t="shared" si="10"/>
        <v>3948</v>
      </c>
      <c r="N37" s="19">
        <f t="shared" si="10"/>
        <v>808</v>
      </c>
      <c r="O37" s="18">
        <f t="shared" si="10"/>
        <v>4718</v>
      </c>
      <c r="P37" s="18">
        <f t="shared" si="10"/>
        <v>1793</v>
      </c>
    </row>
    <row r="38" spans="1:16" ht="11.25">
      <c r="A38" s="2" t="s">
        <v>31</v>
      </c>
      <c r="C38" s="18">
        <f>D38+6352</f>
        <v>25939</v>
      </c>
      <c r="D38" s="18">
        <f>E38+3975</f>
        <v>19587</v>
      </c>
      <c r="E38" s="19">
        <f>F38+9481</f>
        <v>15612</v>
      </c>
      <c r="F38" s="27">
        <v>6131</v>
      </c>
      <c r="G38" s="28">
        <v>1336</v>
      </c>
      <c r="H38" s="18">
        <f>I38+104</f>
        <v>604</v>
      </c>
      <c r="I38" s="18">
        <f>J38+175</f>
        <v>500</v>
      </c>
      <c r="J38" s="18">
        <v>325</v>
      </c>
      <c r="K38" s="21">
        <f>1656+L38</f>
        <v>2400</v>
      </c>
      <c r="L38" s="19">
        <f>342+M38</f>
        <v>744</v>
      </c>
      <c r="M38" s="19">
        <f>232+N38</f>
        <v>402</v>
      </c>
      <c r="N38" s="19">
        <v>170</v>
      </c>
      <c r="O38" s="18">
        <v>960</v>
      </c>
      <c r="P38" s="18">
        <v>876</v>
      </c>
    </row>
    <row r="39" spans="1:16" ht="11.25">
      <c r="A39" s="2" t="s">
        <v>32</v>
      </c>
      <c r="C39" s="19">
        <f aca="true" t="shared" si="11" ref="C39:P39">C37-C38</f>
        <v>23600</v>
      </c>
      <c r="D39" s="19">
        <f t="shared" si="11"/>
        <v>23801</v>
      </c>
      <c r="E39" s="19">
        <f t="shared" si="11"/>
        <v>15921</v>
      </c>
      <c r="F39" s="20">
        <f t="shared" si="11"/>
        <v>10403</v>
      </c>
      <c r="G39" s="18">
        <f t="shared" si="11"/>
        <v>7590</v>
      </c>
      <c r="H39" s="18">
        <f t="shared" si="11"/>
        <v>2212</v>
      </c>
      <c r="I39" s="18">
        <f t="shared" si="11"/>
        <v>1649</v>
      </c>
      <c r="J39" s="18">
        <f t="shared" si="11"/>
        <v>959</v>
      </c>
      <c r="K39" s="21">
        <f t="shared" si="11"/>
        <v>4940</v>
      </c>
      <c r="L39" s="19">
        <f t="shared" si="11"/>
        <v>4276</v>
      </c>
      <c r="M39" s="19">
        <f t="shared" si="11"/>
        <v>3546</v>
      </c>
      <c r="N39" s="19">
        <f t="shared" si="11"/>
        <v>638</v>
      </c>
      <c r="O39" s="18">
        <f t="shared" si="11"/>
        <v>3758</v>
      </c>
      <c r="P39" s="18">
        <f t="shared" si="11"/>
        <v>917</v>
      </c>
    </row>
    <row r="40" spans="1:16" ht="11.25">
      <c r="A40" s="3" t="s">
        <v>33</v>
      </c>
      <c r="B40" s="3"/>
      <c r="C40" s="22">
        <f>D40+-2181</f>
        <v>6953</v>
      </c>
      <c r="D40" s="22">
        <f>E40+7172</f>
        <v>9134</v>
      </c>
      <c r="E40" s="22">
        <f>F40-441</f>
        <v>1962</v>
      </c>
      <c r="F40" s="29">
        <v>2403</v>
      </c>
      <c r="G40" s="30">
        <v>3866</v>
      </c>
      <c r="H40" s="22">
        <f>I40+463</f>
        <v>1712</v>
      </c>
      <c r="I40" s="22">
        <f>J40+490</f>
        <v>1249</v>
      </c>
      <c r="J40" s="22">
        <v>759</v>
      </c>
      <c r="K40" s="24">
        <f>364+L40</f>
        <v>2842</v>
      </c>
      <c r="L40" s="22">
        <f>448+M40</f>
        <v>2478</v>
      </c>
      <c r="M40" s="22">
        <f>1392+N40</f>
        <v>2030</v>
      </c>
      <c r="N40" s="22">
        <v>638</v>
      </c>
      <c r="O40" s="22">
        <v>1776</v>
      </c>
      <c r="P40" s="22">
        <v>468</v>
      </c>
    </row>
    <row r="41" spans="1:16" ht="11.25">
      <c r="A41" s="12" t="s">
        <v>34</v>
      </c>
      <c r="E41" s="19"/>
      <c r="F41" s="25"/>
      <c r="H41" s="18"/>
      <c r="I41" s="18"/>
      <c r="K41" s="21"/>
      <c r="L41" s="19"/>
      <c r="M41" s="19"/>
      <c r="N41" s="19"/>
      <c r="O41" s="18"/>
      <c r="P41" s="18"/>
    </row>
    <row r="42" spans="1:16" ht="11.25">
      <c r="A42" s="2" t="s">
        <v>35</v>
      </c>
      <c r="C42" s="18">
        <v>1729</v>
      </c>
      <c r="D42" s="18">
        <v>890</v>
      </c>
      <c r="E42" s="19">
        <v>2789</v>
      </c>
      <c r="F42" s="20">
        <v>21532</v>
      </c>
      <c r="G42" s="18">
        <v>6054</v>
      </c>
      <c r="H42" s="18">
        <v>0</v>
      </c>
      <c r="I42" s="18">
        <v>0</v>
      </c>
      <c r="J42" s="31">
        <v>0</v>
      </c>
      <c r="K42" s="21">
        <v>0</v>
      </c>
      <c r="L42" s="19">
        <v>0</v>
      </c>
      <c r="M42" s="19">
        <v>1000</v>
      </c>
      <c r="N42" s="19">
        <v>0</v>
      </c>
      <c r="O42" s="18">
        <v>0</v>
      </c>
      <c r="P42" s="18">
        <v>6000</v>
      </c>
    </row>
    <row r="43" spans="1:16" ht="11.25">
      <c r="A43" s="2" t="s">
        <v>36</v>
      </c>
      <c r="C43" s="18">
        <v>5449</v>
      </c>
      <c r="D43" s="18">
        <v>3546</v>
      </c>
      <c r="E43" s="19">
        <v>3546</v>
      </c>
      <c r="F43" s="20">
        <v>16001</v>
      </c>
      <c r="G43" s="18">
        <v>8001</v>
      </c>
      <c r="H43" s="18">
        <v>4776</v>
      </c>
      <c r="I43" s="18">
        <v>4731</v>
      </c>
      <c r="J43" s="31">
        <v>4531</v>
      </c>
      <c r="K43" s="21">
        <v>2376</v>
      </c>
      <c r="L43" s="19">
        <v>2076</v>
      </c>
      <c r="M43" s="19">
        <v>1795</v>
      </c>
      <c r="N43" s="19">
        <v>279</v>
      </c>
      <c r="O43" s="18">
        <v>279</v>
      </c>
      <c r="P43" s="18">
        <v>449</v>
      </c>
    </row>
    <row r="44" spans="1:16" ht="11.25">
      <c r="A44" s="2" t="s">
        <v>37</v>
      </c>
      <c r="C44" s="32">
        <f aca="true" t="shared" si="12" ref="C44:P44">C42/C12</f>
        <v>0.06351013811342933</v>
      </c>
      <c r="D44" s="32">
        <f t="shared" si="12"/>
        <v>0.029590717159291152</v>
      </c>
      <c r="E44" s="32">
        <f t="shared" si="12"/>
        <v>0.09207051366697477</v>
      </c>
      <c r="F44" s="33">
        <f t="shared" si="12"/>
        <v>0.32176213033667567</v>
      </c>
      <c r="G44" s="34">
        <f t="shared" si="12"/>
        <v>0.08691158103277488</v>
      </c>
      <c r="H44" s="34">
        <f t="shared" si="12"/>
        <v>0</v>
      </c>
      <c r="I44" s="34">
        <f t="shared" si="12"/>
        <v>0</v>
      </c>
      <c r="J44" s="34">
        <f t="shared" si="12"/>
        <v>0</v>
      </c>
      <c r="K44" s="35">
        <f t="shared" si="12"/>
        <v>0</v>
      </c>
      <c r="L44" s="32">
        <f t="shared" si="12"/>
        <v>0</v>
      </c>
      <c r="M44" s="32">
        <f t="shared" si="12"/>
        <v>0.022418508720799892</v>
      </c>
      <c r="N44" s="32">
        <f t="shared" si="12"/>
        <v>0</v>
      </c>
      <c r="O44" s="34">
        <f t="shared" si="12"/>
        <v>0</v>
      </c>
      <c r="P44" s="34">
        <f t="shared" si="12"/>
        <v>0.4431314623338257</v>
      </c>
    </row>
    <row r="45" spans="1:16" ht="11.25">
      <c r="A45" s="2" t="s">
        <v>38</v>
      </c>
      <c r="C45" s="32">
        <f>C43/C42</f>
        <v>3.151532677848467</v>
      </c>
      <c r="D45" s="32">
        <f>D43/D42</f>
        <v>3.9842696629213483</v>
      </c>
      <c r="E45" s="32">
        <f>E43/E42</f>
        <v>1.2714234492649694</v>
      </c>
      <c r="F45" s="33">
        <f>F43/F42</f>
        <v>0.7431265093813858</v>
      </c>
      <c r="G45" s="34">
        <f>+G43/G42</f>
        <v>1.321605550049554</v>
      </c>
      <c r="H45" s="34">
        <v>0</v>
      </c>
      <c r="I45" s="34">
        <v>0</v>
      </c>
      <c r="J45" s="34">
        <v>0</v>
      </c>
      <c r="K45" s="35">
        <v>0</v>
      </c>
      <c r="L45" s="32">
        <v>0</v>
      </c>
      <c r="M45" s="32">
        <f>M43/M42</f>
        <v>1.795</v>
      </c>
      <c r="N45" s="32">
        <v>0</v>
      </c>
      <c r="O45" s="34">
        <v>0</v>
      </c>
      <c r="P45" s="34">
        <f>P43/P42</f>
        <v>0.07483333333333334</v>
      </c>
    </row>
    <row r="46" spans="1:16" ht="11.25">
      <c r="A46" s="3" t="s">
        <v>39</v>
      </c>
      <c r="B46" s="3"/>
      <c r="C46" s="36">
        <f aca="true" t="shared" si="13" ref="C46:P46">C43/C12</f>
        <v>0.20015427563914193</v>
      </c>
      <c r="D46" s="36">
        <f t="shared" si="13"/>
        <v>0.11789739668184993</v>
      </c>
      <c r="E46" s="36">
        <f t="shared" si="13"/>
        <v>0.11706061006206259</v>
      </c>
      <c r="F46" s="37">
        <f t="shared" si="13"/>
        <v>0.2391099687682123</v>
      </c>
      <c r="G46" s="36">
        <f t="shared" si="13"/>
        <v>0.11486282785649683</v>
      </c>
      <c r="H46" s="36">
        <f t="shared" si="13"/>
        <v>0.07637078849321202</v>
      </c>
      <c r="I46" s="36">
        <f t="shared" si="13"/>
        <v>0.07678823586697181</v>
      </c>
      <c r="J46" s="36">
        <f t="shared" si="13"/>
        <v>0.08509239783653846</v>
      </c>
      <c r="K46" s="38">
        <f t="shared" si="13"/>
        <v>0.05244107000971131</v>
      </c>
      <c r="L46" s="36">
        <f t="shared" si="13"/>
        <v>0.047845125604978105</v>
      </c>
      <c r="M46" s="36">
        <f t="shared" si="13"/>
        <v>0.040241223153835805</v>
      </c>
      <c r="N46" s="36">
        <f t="shared" si="13"/>
        <v>0.008108343747275423</v>
      </c>
      <c r="O46" s="36">
        <f t="shared" si="13"/>
        <v>0.04528485635448791</v>
      </c>
      <c r="P46" s="36">
        <f t="shared" si="13"/>
        <v>0.033161004431314624</v>
      </c>
    </row>
    <row r="47" spans="1:14" ht="11.25">
      <c r="A47" s="12" t="s">
        <v>40</v>
      </c>
      <c r="E47" s="4"/>
      <c r="F47" s="25"/>
      <c r="K47" s="26"/>
      <c r="L47" s="4"/>
      <c r="M47" s="4"/>
      <c r="N47" s="4"/>
    </row>
    <row r="48" spans="1:16" ht="11.25">
      <c r="A48" s="2" t="s">
        <v>41</v>
      </c>
      <c r="C48" s="32">
        <f aca="true" t="shared" si="14" ref="C48:P48">C25/(C12+C15)</f>
        <v>0.31936428430200264</v>
      </c>
      <c r="D48" s="32">
        <f t="shared" si="14"/>
        <v>0.37817538052188854</v>
      </c>
      <c r="E48" s="32">
        <f t="shared" si="14"/>
        <v>0.3123036564433073</v>
      </c>
      <c r="F48" s="33">
        <f t="shared" si="14"/>
        <v>0.19792172084748505</v>
      </c>
      <c r="G48" s="34">
        <f t="shared" si="14"/>
        <v>0.17917312867008656</v>
      </c>
      <c r="H48" s="34">
        <f t="shared" si="14"/>
        <v>0.16091790470400288</v>
      </c>
      <c r="I48" s="34">
        <f t="shared" si="14"/>
        <v>0.16615403459585992</v>
      </c>
      <c r="J48" s="34">
        <f t="shared" si="14"/>
        <v>0.17203868427481356</v>
      </c>
      <c r="K48" s="35">
        <f t="shared" si="14"/>
        <v>0.2971177501749212</v>
      </c>
      <c r="L48" s="32">
        <f t="shared" si="14"/>
        <v>0.31001014166640256</v>
      </c>
      <c r="M48" s="32">
        <f t="shared" si="14"/>
        <v>0.32186098374842936</v>
      </c>
      <c r="N48" s="32">
        <f t="shared" si="14"/>
        <v>0.4243419568493336</v>
      </c>
      <c r="O48" s="34">
        <f t="shared" si="14"/>
        <v>0.5617521678050671</v>
      </c>
      <c r="P48" s="34">
        <f t="shared" si="14"/>
        <v>0.4950956324397456</v>
      </c>
    </row>
    <row r="49" spans="1:16" ht="11.25">
      <c r="A49" s="3" t="s">
        <v>42</v>
      </c>
      <c r="B49" s="3"/>
      <c r="C49" s="36">
        <f>C25/C10</f>
        <v>0.14974527410625205</v>
      </c>
      <c r="D49" s="36">
        <f>D25/D10</f>
        <v>0.17986826633716643</v>
      </c>
      <c r="E49" s="36">
        <f>E25/E10</f>
        <v>0.16101454357227538</v>
      </c>
      <c r="F49" s="37">
        <f>F25/F12</f>
        <v>0.43888880586978285</v>
      </c>
      <c r="G49" s="36">
        <f>G25/G12</f>
        <v>0.3881016983217767</v>
      </c>
      <c r="H49" s="36">
        <f aca="true" t="shared" si="15" ref="H49:P49">H25/H10</f>
        <v>0.13139410838957719</v>
      </c>
      <c r="I49" s="36">
        <f t="shared" si="15"/>
        <v>0.1318348460387994</v>
      </c>
      <c r="J49" s="36">
        <f t="shared" si="15"/>
        <v>0.13880740646268364</v>
      </c>
      <c r="K49" s="38">
        <f t="shared" si="15"/>
        <v>0.18929023352122398</v>
      </c>
      <c r="L49" s="36">
        <f t="shared" si="15"/>
        <v>0.23159471073597482</v>
      </c>
      <c r="M49" s="36">
        <f t="shared" si="15"/>
        <v>0.24048570913409228</v>
      </c>
      <c r="N49" s="36">
        <f t="shared" si="15"/>
        <v>0.28265743428842766</v>
      </c>
      <c r="O49" s="36">
        <f t="shared" si="15"/>
        <v>0.31632319044176815</v>
      </c>
      <c r="P49" s="36">
        <f t="shared" si="15"/>
        <v>0.39418499600403073</v>
      </c>
    </row>
    <row r="50" spans="1:16" ht="11.25">
      <c r="A50" s="12" t="s">
        <v>43</v>
      </c>
      <c r="E50" s="4"/>
      <c r="F50" s="25"/>
      <c r="J50" s="39"/>
      <c r="K50" s="40"/>
      <c r="L50" s="41"/>
      <c r="M50" s="41"/>
      <c r="N50" s="41"/>
      <c r="O50" s="39"/>
      <c r="P50" s="39"/>
    </row>
    <row r="51" spans="1:16" ht="11.25">
      <c r="A51" s="2" t="s">
        <v>44</v>
      </c>
      <c r="C51" s="41">
        <f aca="true" t="shared" si="16" ref="C51:P51">C11/C16</f>
        <v>0.7674497440591207</v>
      </c>
      <c r="D51" s="41">
        <f t="shared" si="16"/>
        <v>0.7415952852473098</v>
      </c>
      <c r="E51" s="41">
        <f t="shared" si="16"/>
        <v>0.6481073361660113</v>
      </c>
      <c r="F51" s="42">
        <f t="shared" si="16"/>
        <v>0.44473491757941547</v>
      </c>
      <c r="G51" s="39">
        <f t="shared" si="16"/>
        <v>0.40152176327774164</v>
      </c>
      <c r="H51" s="39">
        <f t="shared" si="16"/>
        <v>0.2708408801701638</v>
      </c>
      <c r="I51" s="39">
        <f t="shared" si="16"/>
        <v>0.3286395532945464</v>
      </c>
      <c r="J51" s="39">
        <f t="shared" si="16"/>
        <v>0.3222604302295819</v>
      </c>
      <c r="K51" s="40">
        <f t="shared" si="16"/>
        <v>0.500604224865815</v>
      </c>
      <c r="L51" s="41">
        <f t="shared" si="16"/>
        <v>0.36875242154203797</v>
      </c>
      <c r="M51" s="41">
        <f t="shared" si="16"/>
        <v>0.39195301335920396</v>
      </c>
      <c r="N51" s="41">
        <f t="shared" si="16"/>
        <v>0.4019340217867168</v>
      </c>
      <c r="O51" s="39">
        <f t="shared" si="16"/>
        <v>0.6600796954389915</v>
      </c>
      <c r="P51" s="39">
        <f t="shared" si="16"/>
        <v>0.2530472058671625</v>
      </c>
    </row>
    <row r="52" spans="1:16" ht="11.25">
      <c r="A52" s="2" t="s">
        <v>45</v>
      </c>
      <c r="C52" s="41">
        <f aca="true" t="shared" si="17" ref="C52:P52">C11/C10</f>
        <v>0.49971746174696935</v>
      </c>
      <c r="D52" s="41">
        <f t="shared" si="17"/>
        <v>0.46457042071068416</v>
      </c>
      <c r="E52" s="41">
        <f t="shared" si="17"/>
        <v>0.409201467158688</v>
      </c>
      <c r="F52" s="42">
        <f t="shared" si="17"/>
        <v>0.2516289510981746</v>
      </c>
      <c r="G52" s="39">
        <f t="shared" si="17"/>
        <v>0.2437798962392759</v>
      </c>
      <c r="H52" s="39">
        <f t="shared" si="17"/>
        <v>0.1539919938316592</v>
      </c>
      <c r="I52" s="39">
        <f t="shared" si="17"/>
        <v>0.18939684356591743</v>
      </c>
      <c r="J52" s="39">
        <f t="shared" si="17"/>
        <v>0.16787441013808857</v>
      </c>
      <c r="K52" s="40">
        <f t="shared" si="17"/>
        <v>0.3057776371793397</v>
      </c>
      <c r="L52" s="41">
        <f t="shared" si="17"/>
        <v>0.18027061901435962</v>
      </c>
      <c r="M52" s="41">
        <f t="shared" si="17"/>
        <v>0.1858838451351368</v>
      </c>
      <c r="N52" s="41">
        <f t="shared" si="17"/>
        <v>0.18762284292334602</v>
      </c>
      <c r="O52" s="39">
        <f t="shared" si="17"/>
        <v>0.30387757607168675</v>
      </c>
      <c r="P52" s="39">
        <f t="shared" si="17"/>
        <v>0.08512283262100838</v>
      </c>
    </row>
    <row r="53" spans="1:16" ht="11.25">
      <c r="A53" s="3" t="s">
        <v>46</v>
      </c>
      <c r="B53" s="3"/>
      <c r="C53" s="43">
        <f aca="true" t="shared" si="18" ref="C53:P53">(C11+C15)/C16</f>
        <v>1.3029729821349876</v>
      </c>
      <c r="D53" s="43">
        <f t="shared" si="18"/>
        <v>1.2616178727939364</v>
      </c>
      <c r="E53" s="43">
        <f t="shared" si="18"/>
        <v>1.1976498175214654</v>
      </c>
      <c r="F53" s="44">
        <f t="shared" si="18"/>
        <v>1.1295949160663399</v>
      </c>
      <c r="G53" s="43">
        <f t="shared" si="18"/>
        <v>1.0459702629365746</v>
      </c>
      <c r="H53" s="43">
        <f t="shared" si="18"/>
        <v>1.1260809392444804</v>
      </c>
      <c r="I53" s="43">
        <f t="shared" si="18"/>
        <v>1.1282029661691821</v>
      </c>
      <c r="J53" s="43">
        <f t="shared" si="18"/>
        <v>1.278536373652055</v>
      </c>
      <c r="K53" s="45">
        <f t="shared" si="18"/>
        <v>1.1880787218682318</v>
      </c>
      <c r="L53" s="43">
        <f t="shared" si="18"/>
        <v>1.3715371948857031</v>
      </c>
      <c r="M53" s="43">
        <f t="shared" si="18"/>
        <v>1.3826448339604336</v>
      </c>
      <c r="N53" s="43">
        <f t="shared" si="18"/>
        <v>1.3858386340810178</v>
      </c>
      <c r="O53" s="43">
        <f t="shared" si="18"/>
        <v>1.791977128297806</v>
      </c>
      <c r="P53" s="43">
        <f t="shared" si="18"/>
        <v>2.2702200185931205</v>
      </c>
    </row>
    <row r="54" spans="1:14" ht="11.25">
      <c r="A54" s="12" t="s">
        <v>47</v>
      </c>
      <c r="E54" s="4"/>
      <c r="F54" s="25"/>
      <c r="K54" s="26"/>
      <c r="L54" s="4"/>
      <c r="M54" s="4"/>
      <c r="N54" s="4"/>
    </row>
    <row r="55" spans="1:16" ht="11.25">
      <c r="A55" s="2" t="s">
        <v>48</v>
      </c>
      <c r="B55" s="4"/>
      <c r="C55" s="32">
        <f>(C40)/C28</f>
        <v>0.054089376217944476</v>
      </c>
      <c r="D55" s="32">
        <f>(D40/0.75)/D28</f>
        <v>0.09740050278450911</v>
      </c>
      <c r="E55" s="32">
        <f>(E40/0.5)/E28</f>
        <v>0.03275664169292735</v>
      </c>
      <c r="F55" s="33">
        <f>((F40)/0.25)/F28</f>
        <v>0.06684981048092638</v>
      </c>
      <c r="G55" s="46">
        <f>G40/G28</f>
        <v>0.02724463440674562</v>
      </c>
      <c r="H55" s="46">
        <f>(H40/0.75)/H28</f>
        <v>0.016256862221430902</v>
      </c>
      <c r="I55" s="34">
        <f>(I40/0.5)/I28</f>
        <v>0.018702714439199332</v>
      </c>
      <c r="J55" s="34">
        <f>((J40)/0.25)/J28</f>
        <v>0.02428809715238861</v>
      </c>
      <c r="K55" s="47">
        <f>K40/K28</f>
        <v>0.026377216470446288</v>
      </c>
      <c r="L55" s="46">
        <f>(L40/0.75)/L28</f>
        <v>0.030775966057015644</v>
      </c>
      <c r="M55" s="46">
        <f>(M40/0.5)/M28</f>
        <v>0.03881898496959498</v>
      </c>
      <c r="N55" s="32">
        <f>((N40)/0.25)/N28</f>
        <v>0.024456977474088735</v>
      </c>
      <c r="O55" s="34">
        <f>O40/O28</f>
        <v>0.02038743004735256</v>
      </c>
      <c r="P55" s="34">
        <f>P40/P28</f>
        <v>0.004920126787882611</v>
      </c>
    </row>
    <row r="56" spans="1:16" ht="11.25">
      <c r="A56" s="2" t="s">
        <v>49</v>
      </c>
      <c r="B56" s="4"/>
      <c r="C56" s="32">
        <f>(C40)/C27</f>
        <v>0.032033281810412546</v>
      </c>
      <c r="D56" s="32">
        <f>(D40/0.75)/D27</f>
        <v>0.06244477373682474</v>
      </c>
      <c r="E56" s="32">
        <f>(E40/0.5)/E27</f>
        <v>0.02150867692037843</v>
      </c>
      <c r="F56" s="33">
        <f>((F40)/0.25)/F27</f>
        <v>0.05022520874917702</v>
      </c>
      <c r="G56" s="46">
        <f>G40/G27</f>
        <v>0.018576491080545376</v>
      </c>
      <c r="H56" s="46">
        <f>(H40/0.75)/H27</f>
        <v>0.012741650386082425</v>
      </c>
      <c r="I56" s="34">
        <f>(I40/0.5)/I27</f>
        <v>0.014437386936996815</v>
      </c>
      <c r="J56" s="34">
        <f>((J40)/0.25)/J27</f>
        <v>0.017918428655321082</v>
      </c>
      <c r="K56" s="47">
        <f>K40/K27</f>
        <v>0.015999099276606525</v>
      </c>
      <c r="L56" s="46">
        <f>(L40/0.75)/L27</f>
        <v>0.02289912326298645</v>
      </c>
      <c r="M56" s="46">
        <f>(M40/0.5)/M27</f>
        <v>0.02922640022171752</v>
      </c>
      <c r="N56" s="32">
        <f>((N40)/0.25)/N27</f>
        <v>0.017742675584354186</v>
      </c>
      <c r="O56" s="34">
        <f>O40/O27</f>
        <v>0.013569993199721877</v>
      </c>
      <c r="P56" s="34">
        <f>P40/P27</f>
        <v>0.004102959741899285</v>
      </c>
    </row>
    <row r="57" spans="1:16" ht="11.25">
      <c r="A57" s="2" t="s">
        <v>50</v>
      </c>
      <c r="B57" s="4"/>
      <c r="C57" s="32">
        <f>(C40)/C31</f>
        <v>0.22813925255110412</v>
      </c>
      <c r="D57" s="32">
        <f>(D40/0.75)/D31</f>
        <v>0.3994249575004236</v>
      </c>
      <c r="E57" s="32">
        <f>(E40/0.5)/E31</f>
        <v>0.14711506017320886</v>
      </c>
      <c r="F57" s="33">
        <f>((F40)/0.25)/F31</f>
        <v>0.36058071050755897</v>
      </c>
      <c r="G57" s="46">
        <f>+G40/G31</f>
        <v>0.11622523524636984</v>
      </c>
      <c r="H57" s="46">
        <f>(H40/0.75)/H31</f>
        <v>0.07132553210325954</v>
      </c>
      <c r="I57" s="34">
        <f>(I40/0.5)/I31</f>
        <v>0.07918093064536579</v>
      </c>
      <c r="J57" s="34">
        <f>((J40)/0.25)/J31</f>
        <v>0.08555727772298154</v>
      </c>
      <c r="K57" s="47">
        <f>+K40/K31</f>
        <v>0.0661876870407676</v>
      </c>
      <c r="L57" s="46">
        <f>(L40/0.75)/L31</f>
        <v>0.07779975510972968</v>
      </c>
      <c r="M57" s="46">
        <f>(M40/0.5)/M31</f>
        <v>0.0966022651565623</v>
      </c>
      <c r="N57" s="32">
        <f>((N40)/0.25)/N31</f>
        <v>0.05496860629166532</v>
      </c>
      <c r="O57" s="34">
        <f>O40/O31</f>
        <v>0.03870883372202001</v>
      </c>
      <c r="P57" s="34">
        <f>P40/P31</f>
        <v>0.010366940977106338</v>
      </c>
    </row>
    <row r="58" spans="1:16" ht="11.25">
      <c r="A58" s="2" t="s">
        <v>51</v>
      </c>
      <c r="B58" s="4"/>
      <c r="C58" s="32">
        <f>(C33)/C28</f>
        <v>0.08075676895131334</v>
      </c>
      <c r="D58" s="32">
        <f>(D33/0.75)/D28</f>
        <v>0.08187443183484355</v>
      </c>
      <c r="E58" s="32">
        <f>(E33/0.5)/E28</f>
        <v>0.08726756683431768</v>
      </c>
      <c r="F58" s="33">
        <f>((F33)/0.25)/F28</f>
        <v>0.08554438919219669</v>
      </c>
      <c r="G58" s="46">
        <f>G33/G28</f>
        <v>0.09413704769925194</v>
      </c>
      <c r="H58" s="46">
        <f>(H33/0.75)/H28</f>
        <v>0.09462595329238256</v>
      </c>
      <c r="I58" s="34">
        <f>(I33/0.5)/I28</f>
        <v>0.09986261216574888</v>
      </c>
      <c r="J58" s="34">
        <f>((J33)/0.25)/J28</f>
        <v>0.10988843955375821</v>
      </c>
      <c r="K58" s="47">
        <f>K33/K28</f>
        <v>0.10928632087948804</v>
      </c>
      <c r="L58" s="46">
        <f>(L33/0.75)/L28</f>
        <v>0.1049462926480154</v>
      </c>
      <c r="M58" s="46">
        <f>(M33/0.5)/M28</f>
        <v>0.10270776762152446</v>
      </c>
      <c r="N58" s="32">
        <f>((N33)/0.25)/N28</f>
        <v>0.09663956146109356</v>
      </c>
      <c r="O58" s="34">
        <f>O33/O28</f>
        <v>0.07756636533218539</v>
      </c>
      <c r="P58" s="34">
        <f>P33/P27</f>
        <v>0.0583093701781456</v>
      </c>
    </row>
    <row r="59" spans="1:16" ht="11.25">
      <c r="A59" s="2" t="s">
        <v>52</v>
      </c>
      <c r="B59" s="4"/>
      <c r="C59" s="32">
        <f>(C34)/C28</f>
        <v>0.08824044217462164</v>
      </c>
      <c r="D59" s="32">
        <f>(D34/0.75)/D28</f>
        <v>0.09083178045965061</v>
      </c>
      <c r="E59" s="32">
        <f>(E34/0.5)/E28</f>
        <v>0.09506438216081975</v>
      </c>
      <c r="F59" s="33">
        <f>((F34)/0.25)/F28</f>
        <v>0.07831136766700282</v>
      </c>
      <c r="G59" s="46">
        <f>G34/G28</f>
        <v>0.07196642694301249</v>
      </c>
      <c r="H59" s="46">
        <f>(H34/0.75)/H28</f>
        <v>0.07072494732781388</v>
      </c>
      <c r="I59" s="34">
        <f>(I34/0.5)/I28</f>
        <v>0.06834202458006866</v>
      </c>
      <c r="J59" s="34">
        <f>((J34)/0.25)/J28</f>
        <v>0.06892827571310285</v>
      </c>
      <c r="K59" s="47">
        <f>K34/K28</f>
        <v>0.07228211184793655</v>
      </c>
      <c r="L59" s="46">
        <f>(L34/0.75)/L28</f>
        <v>0.0693639105845167</v>
      </c>
      <c r="M59" s="46">
        <f>(M34/0.5)/M28</f>
        <v>0.06840172868780357</v>
      </c>
      <c r="N59" s="32">
        <f>((N34)/0.25)/N28</f>
        <v>0.06581916978528268</v>
      </c>
      <c r="O59" s="34">
        <f>O34/O28</f>
        <v>0.049705840149232315</v>
      </c>
      <c r="P59" s="34">
        <f>P34/P27</f>
        <v>0.04285313508205919</v>
      </c>
    </row>
    <row r="60" spans="1:16" ht="11.25">
      <c r="A60" s="2" t="s">
        <v>53</v>
      </c>
      <c r="B60" s="4"/>
      <c r="C60" s="32">
        <f>(C35)/C28</f>
        <v>-0.007483673223308297</v>
      </c>
      <c r="D60" s="32">
        <f>(D35/0.75)/D28</f>
        <v>-0.008957348624807057</v>
      </c>
      <c r="E60" s="32">
        <f>(E35/0.5)/E28</f>
        <v>-0.007796815326502077</v>
      </c>
      <c r="F60" s="33">
        <f>((F35)/0.25)/F28</f>
        <v>0.007233021525193866</v>
      </c>
      <c r="G60" s="46">
        <f>G35/G28</f>
        <v>0.02217062075623945</v>
      </c>
      <c r="H60" s="46">
        <f>(H35/0.75)/H28</f>
        <v>0.02390100596456868</v>
      </c>
      <c r="I60" s="34">
        <f>(I35/0.5)/I28</f>
        <v>0.03152058758568022</v>
      </c>
      <c r="J60" s="34">
        <f>((J35)/0.25)/J28</f>
        <v>0.040960163840655366</v>
      </c>
      <c r="K60" s="47">
        <f>K35/K28</f>
        <v>0.037004209031551494</v>
      </c>
      <c r="L60" s="46">
        <f>(L35/0.75)/L28</f>
        <v>0.035582382063498716</v>
      </c>
      <c r="M60" s="46">
        <f>(M35/0.5)/M28</f>
        <v>0.03430603893372088</v>
      </c>
      <c r="N60" s="32">
        <f>((N35)/0.25)/N28</f>
        <v>0.03082039167581088</v>
      </c>
      <c r="O60" s="34">
        <f>O35/O28</f>
        <v>0.027860525182953077</v>
      </c>
      <c r="P60" s="34">
        <f>P35/P27</f>
        <v>0.015456235096086408</v>
      </c>
    </row>
    <row r="61" spans="1:16" ht="11.25">
      <c r="A61" s="2" t="s">
        <v>54</v>
      </c>
      <c r="B61" s="4"/>
      <c r="C61" s="32">
        <v>0</v>
      </c>
      <c r="D61" s="32">
        <f>(D38/0.75)/(D37/0.75)</f>
        <v>0.4514381856734581</v>
      </c>
      <c r="E61" s="32">
        <f>(E38/0.5)/(E37/0.5)</f>
        <v>0.495100371039863</v>
      </c>
      <c r="F61" s="33">
        <f>(F38/0.25)/(F37/0.25)</f>
        <v>0.37081166082012823</v>
      </c>
      <c r="G61" s="46">
        <f>G38/G37</f>
        <v>0.14967510643065202</v>
      </c>
      <c r="H61" s="46">
        <f>(H38/0.75)/(H37/0.75)</f>
        <v>0.21448863636363638</v>
      </c>
      <c r="I61" s="34">
        <f>(I38/0.5)/(I37/0.5)</f>
        <v>0.23266635644485809</v>
      </c>
      <c r="J61" s="34">
        <f>(J38/0.25)/(J37/0.25)</f>
        <v>0.2531152647975078</v>
      </c>
      <c r="K61" s="47">
        <f>K38/K37</f>
        <v>0.32697547683923706</v>
      </c>
      <c r="L61" s="46">
        <f>(L38/0.75)/(L37/0.75)</f>
        <v>0.14820717131474104</v>
      </c>
      <c r="M61" s="46">
        <f>(M38/0.5)/(M37/0.5)</f>
        <v>0.10182370820668693</v>
      </c>
      <c r="N61" s="32">
        <f>(N38/0.25)/(N37/0.25)</f>
        <v>0.2103960396039604</v>
      </c>
      <c r="O61" s="34">
        <f>O38/O37</f>
        <v>0.20347604917337855</v>
      </c>
      <c r="P61" s="34">
        <f>P38/P37</f>
        <v>0.48856664807585054</v>
      </c>
    </row>
    <row r="62" spans="1:16" ht="11.25">
      <c r="A62" s="3" t="s">
        <v>55</v>
      </c>
      <c r="B62" s="3"/>
      <c r="C62" s="36">
        <f>(C36)/C28</f>
        <v>0.39286172707930594</v>
      </c>
      <c r="D62" s="36">
        <f>(D36/0.75)/D28</f>
        <v>0.4716257321166268</v>
      </c>
      <c r="E62" s="36">
        <f>(E36/0.5)/E28</f>
        <v>0.5342571529937183</v>
      </c>
      <c r="F62" s="37">
        <f>(F36/0.25)/F28</f>
        <v>0.4527315088500191</v>
      </c>
      <c r="G62" s="48">
        <f>G36/G28</f>
        <v>0.04073305402767451</v>
      </c>
      <c r="H62" s="48">
        <f>(H36/0.75)/H28</f>
        <v>0.0028392533903083177</v>
      </c>
      <c r="I62" s="36">
        <f>(I36/0.5)/I28</f>
        <v>0.0006588626383705129</v>
      </c>
      <c r="J62" s="36">
        <f>(J36/0.25)/J28</f>
        <v>0.000128000512002048</v>
      </c>
      <c r="K62" s="49">
        <f>K36/K28</f>
        <v>0.031119917954048698</v>
      </c>
      <c r="L62" s="48">
        <f>(L36/0.75)/L28</f>
        <v>0.026764409545144762</v>
      </c>
      <c r="M62" s="48">
        <f>(M36/0.5)/M28</f>
        <v>0.041190193903698324</v>
      </c>
      <c r="N62" s="36">
        <f>(N36/0.25)/N28</f>
        <v>0.00015333528196920837</v>
      </c>
      <c r="O62" s="36">
        <f>O36/O28</f>
        <v>0.026299325584732386</v>
      </c>
      <c r="P62" s="36">
        <f>P36/P27</f>
        <v>0.00026301023986533874</v>
      </c>
    </row>
    <row r="63" spans="1:14" ht="11.25">
      <c r="A63" s="12" t="s">
        <v>56</v>
      </c>
      <c r="E63" s="4"/>
      <c r="F63" s="25"/>
      <c r="K63" s="26"/>
      <c r="L63" s="4"/>
      <c r="M63" s="4"/>
      <c r="N63" s="4"/>
    </row>
    <row r="64" spans="1:16" ht="11.25">
      <c r="A64" s="2" t="s">
        <v>57</v>
      </c>
      <c r="C64" s="18">
        <v>3</v>
      </c>
      <c r="D64" s="18">
        <v>3</v>
      </c>
      <c r="E64" s="4">
        <v>4</v>
      </c>
      <c r="F64" s="25">
        <v>4</v>
      </c>
      <c r="G64" s="2">
        <v>4</v>
      </c>
      <c r="H64" s="18">
        <v>5</v>
      </c>
      <c r="I64" s="18">
        <v>5</v>
      </c>
      <c r="J64" s="18">
        <v>5</v>
      </c>
      <c r="K64" s="21">
        <v>5</v>
      </c>
      <c r="L64" s="19">
        <v>5</v>
      </c>
      <c r="M64" s="19">
        <v>5</v>
      </c>
      <c r="N64" s="19">
        <v>5</v>
      </c>
      <c r="O64" s="18">
        <v>4</v>
      </c>
      <c r="P64" s="18">
        <v>4</v>
      </c>
    </row>
    <row r="65" spans="1:16" ht="11.25">
      <c r="A65" s="2" t="s">
        <v>58</v>
      </c>
      <c r="C65" s="18">
        <v>1</v>
      </c>
      <c r="D65" s="18">
        <v>1</v>
      </c>
      <c r="E65" s="4">
        <v>1</v>
      </c>
      <c r="F65" s="25">
        <v>1</v>
      </c>
      <c r="G65" s="2">
        <v>1</v>
      </c>
      <c r="H65" s="18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2" t="s">
        <v>59</v>
      </c>
      <c r="C66" s="19">
        <f aca="true" t="shared" si="19" ref="C66:P66">C12/C64</f>
        <v>9074.666666666666</v>
      </c>
      <c r="D66" s="19">
        <f t="shared" si="19"/>
        <v>10025.666666666666</v>
      </c>
      <c r="E66" s="19">
        <f t="shared" si="19"/>
        <v>7573</v>
      </c>
      <c r="F66" s="20">
        <f t="shared" si="19"/>
        <v>16729.75</v>
      </c>
      <c r="G66" s="18">
        <f t="shared" si="19"/>
        <v>17414.25</v>
      </c>
      <c r="H66" s="18">
        <f t="shared" si="19"/>
        <v>12507.4</v>
      </c>
      <c r="I66" s="18">
        <f t="shared" si="19"/>
        <v>12322.2</v>
      </c>
      <c r="J66" s="18">
        <f t="shared" si="19"/>
        <v>10649.6</v>
      </c>
      <c r="K66" s="21">
        <f t="shared" si="19"/>
        <v>9061.6</v>
      </c>
      <c r="L66" s="19">
        <f t="shared" si="19"/>
        <v>8678</v>
      </c>
      <c r="M66" s="19">
        <f t="shared" si="19"/>
        <v>8921.2</v>
      </c>
      <c r="N66" s="19">
        <f t="shared" si="19"/>
        <v>6881.8</v>
      </c>
      <c r="O66" s="18">
        <f t="shared" si="19"/>
        <v>1540.25</v>
      </c>
      <c r="P66" s="18">
        <f t="shared" si="19"/>
        <v>3385</v>
      </c>
    </row>
    <row r="67" spans="1:16" ht="11.25">
      <c r="A67" s="2" t="s">
        <v>60</v>
      </c>
      <c r="C67" s="19">
        <f aca="true" t="shared" si="20" ref="C67:P67">C16/C64</f>
        <v>49165</v>
      </c>
      <c r="D67" s="19">
        <f t="shared" si="20"/>
        <v>41911</v>
      </c>
      <c r="E67" s="19">
        <f t="shared" si="20"/>
        <v>28359.5</v>
      </c>
      <c r="F67" s="20">
        <f t="shared" si="20"/>
        <v>29740.75</v>
      </c>
      <c r="G67" s="18">
        <f t="shared" si="20"/>
        <v>31509.5</v>
      </c>
      <c r="H67" s="18">
        <f t="shared" si="20"/>
        <v>21532.2</v>
      </c>
      <c r="I67" s="18">
        <f t="shared" si="20"/>
        <v>21347.4</v>
      </c>
      <c r="J67" s="18">
        <f t="shared" si="20"/>
        <v>17971.8</v>
      </c>
      <c r="K67" s="21">
        <f t="shared" si="20"/>
        <v>25487.2</v>
      </c>
      <c r="L67" s="19">
        <f t="shared" si="20"/>
        <v>16518.4</v>
      </c>
      <c r="M67" s="19">
        <f t="shared" si="20"/>
        <v>15255.4</v>
      </c>
      <c r="N67" s="19">
        <f t="shared" si="20"/>
        <v>15532.4</v>
      </c>
      <c r="O67" s="18">
        <f t="shared" si="20"/>
        <v>16876.75</v>
      </c>
      <c r="P67" s="18">
        <f t="shared" si="20"/>
        <v>9681</v>
      </c>
    </row>
    <row r="68" spans="1:16" ht="11.25">
      <c r="A68" s="3" t="s">
        <v>61</v>
      </c>
      <c r="B68" s="3"/>
      <c r="C68" s="22">
        <f aca="true" t="shared" si="21" ref="C68:P68">(C40/C64)</f>
        <v>2317.6666666666665</v>
      </c>
      <c r="D68" s="22">
        <f t="shared" si="21"/>
        <v>3044.6666666666665</v>
      </c>
      <c r="E68" s="22">
        <f t="shared" si="21"/>
        <v>490.5</v>
      </c>
      <c r="F68" s="23">
        <f t="shared" si="21"/>
        <v>600.75</v>
      </c>
      <c r="G68" s="22">
        <f t="shared" si="21"/>
        <v>966.5</v>
      </c>
      <c r="H68" s="22">
        <f t="shared" si="21"/>
        <v>342.4</v>
      </c>
      <c r="I68" s="22">
        <f t="shared" si="21"/>
        <v>249.8</v>
      </c>
      <c r="J68" s="22">
        <f t="shared" si="21"/>
        <v>151.8</v>
      </c>
      <c r="K68" s="24">
        <f t="shared" si="21"/>
        <v>568.4</v>
      </c>
      <c r="L68" s="22">
        <f t="shared" si="21"/>
        <v>495.6</v>
      </c>
      <c r="M68" s="22">
        <f t="shared" si="21"/>
        <v>406</v>
      </c>
      <c r="N68" s="22">
        <f t="shared" si="21"/>
        <v>127.6</v>
      </c>
      <c r="O68" s="22">
        <f t="shared" si="21"/>
        <v>444</v>
      </c>
      <c r="P68" s="22">
        <f t="shared" si="21"/>
        <v>117</v>
      </c>
    </row>
    <row r="69" spans="1:14" ht="11.25">
      <c r="A69" s="12" t="s">
        <v>62</v>
      </c>
      <c r="E69" s="4"/>
      <c r="F69" s="25"/>
      <c r="K69" s="26"/>
      <c r="L69" s="4"/>
      <c r="M69" s="4"/>
      <c r="N69" s="4"/>
    </row>
    <row r="70" spans="1:16" ht="11.25">
      <c r="A70" s="2" t="s">
        <v>63</v>
      </c>
      <c r="C70" s="32">
        <f aca="true" t="shared" si="22" ref="C70:K70">(C10/G10)-1</f>
        <v>0.09116396024914142</v>
      </c>
      <c r="D70" s="32">
        <f t="shared" si="22"/>
        <v>0.0599617647369477</v>
      </c>
      <c r="E70" s="32">
        <f t="shared" si="22"/>
        <v>-0.029922951908384565</v>
      </c>
      <c r="F70" s="33">
        <f t="shared" si="22"/>
        <v>0.21890108870827496</v>
      </c>
      <c r="G70" s="34">
        <f t="shared" si="22"/>
        <v>-0.004980060585145107</v>
      </c>
      <c r="H70" s="34">
        <f t="shared" si="22"/>
        <v>0.12079599398624419</v>
      </c>
      <c r="I70" s="34">
        <f t="shared" si="22"/>
        <v>0.15153229667302925</v>
      </c>
      <c r="J70" s="34">
        <f t="shared" si="22"/>
        <v>0.03682733168641161</v>
      </c>
      <c r="K70" s="35">
        <f t="shared" si="22"/>
        <v>0.4227689957582619</v>
      </c>
      <c r="L70" s="32">
        <f>(L10/119624)-1</f>
        <v>0.41230856684277395</v>
      </c>
      <c r="M70" s="32">
        <f>(M10/116994)-1</f>
        <v>0.37474571345539087</v>
      </c>
      <c r="N70" s="32">
        <f>(N10/121296)-1</f>
        <v>0.3716115947764147</v>
      </c>
      <c r="O70" s="34">
        <f>(O10/P10)-1</f>
        <v>0.27382813857326527</v>
      </c>
      <c r="P70" s="34">
        <f>(P10/113012)-1</f>
        <v>0.018617491947757747</v>
      </c>
    </row>
    <row r="71" spans="1:16" ht="11.25">
      <c r="A71" s="2" t="s">
        <v>64</v>
      </c>
      <c r="C71" s="32">
        <f aca="true" t="shared" si="23" ref="C71:I71">(C12/G12)-1</f>
        <v>-0.6091706504730321</v>
      </c>
      <c r="D71" s="32">
        <f t="shared" si="23"/>
        <v>-0.5190527207892928</v>
      </c>
      <c r="E71" s="32">
        <f t="shared" si="23"/>
        <v>-0.5083345506484231</v>
      </c>
      <c r="F71" s="33">
        <f t="shared" si="23"/>
        <v>0.2567420372596154</v>
      </c>
      <c r="G71" s="34">
        <f t="shared" si="23"/>
        <v>0.5374106118124835</v>
      </c>
      <c r="H71" s="34">
        <f t="shared" si="23"/>
        <v>0.44127679188753177</v>
      </c>
      <c r="I71" s="34">
        <f t="shared" si="23"/>
        <v>0.3812267407972021</v>
      </c>
      <c r="J71" s="34">
        <f>J12/N12-1</f>
        <v>0.5475021070068877</v>
      </c>
      <c r="K71" s="35">
        <f>(K12/O12)-1</f>
        <v>6.354000973867879</v>
      </c>
      <c r="L71" s="32">
        <f>L12/11232-1</f>
        <v>2.8630698005698005</v>
      </c>
      <c r="M71" s="32">
        <f>M12/11735-1</f>
        <v>2.8011077971878993</v>
      </c>
      <c r="N71" s="32">
        <f>N12/19759-1</f>
        <v>0.7414342831114935</v>
      </c>
      <c r="O71" s="34">
        <f>(O12/P12)-1</f>
        <v>-0.5449778434268833</v>
      </c>
      <c r="P71" s="34">
        <f>P12/18770-1</f>
        <v>-0.2786361214704315</v>
      </c>
    </row>
    <row r="72" spans="2:16" ht="11.25">
      <c r="B72" s="2" t="s">
        <v>15</v>
      </c>
      <c r="C72" s="32">
        <v>0</v>
      </c>
      <c r="D72" s="32">
        <v>0</v>
      </c>
      <c r="E72" s="32">
        <v>0</v>
      </c>
      <c r="F72" s="33">
        <v>0</v>
      </c>
      <c r="G72" s="34">
        <v>0</v>
      </c>
      <c r="H72" s="34">
        <v>0</v>
      </c>
      <c r="I72" s="34">
        <v>0</v>
      </c>
      <c r="J72" s="34">
        <v>0</v>
      </c>
      <c r="K72" s="35">
        <v>0</v>
      </c>
      <c r="L72" s="32">
        <v>0</v>
      </c>
      <c r="M72" s="32">
        <f>(M13/504)-1</f>
        <v>-1</v>
      </c>
      <c r="N72" s="32">
        <f>(N13/527)-1</f>
        <v>-1</v>
      </c>
      <c r="O72" s="34">
        <f>(O13/P13)-1</f>
        <v>-1</v>
      </c>
      <c r="P72" s="34">
        <f>(P13/309)-1</f>
        <v>0.7055016181229774</v>
      </c>
    </row>
    <row r="73" spans="2:16" ht="11.25">
      <c r="B73" s="2" t="s">
        <v>16</v>
      </c>
      <c r="C73" s="32">
        <f aca="true" t="shared" si="24" ref="C73:K73">(C14/G14)-1</f>
        <v>-0.6091706504730321</v>
      </c>
      <c r="D73" s="32">
        <f t="shared" si="24"/>
        <v>-0.5190527207892928</v>
      </c>
      <c r="E73" s="32">
        <f t="shared" si="24"/>
        <v>-0.5083345506484231</v>
      </c>
      <c r="F73" s="33">
        <f t="shared" si="24"/>
        <v>0.2567420372596154</v>
      </c>
      <c r="G73" s="34">
        <f t="shared" si="24"/>
        <v>0.5374106118124835</v>
      </c>
      <c r="H73" s="34">
        <f t="shared" si="24"/>
        <v>0.44127679188753177</v>
      </c>
      <c r="I73" s="34">
        <f t="shared" si="24"/>
        <v>0.3812267407972021</v>
      </c>
      <c r="J73" s="34">
        <f t="shared" si="24"/>
        <v>0.5475021070068877</v>
      </c>
      <c r="K73" s="35">
        <f t="shared" si="24"/>
        <v>6.354000973867879</v>
      </c>
      <c r="L73" s="32">
        <f>(L14/11231)-1</f>
        <v>2.8634137654705727</v>
      </c>
      <c r="M73" s="32">
        <f>(M14/11232)-1</f>
        <v>2.971331908831909</v>
      </c>
      <c r="N73" s="32">
        <f>(N14/19232)-1</f>
        <v>0.7891534941763727</v>
      </c>
      <c r="O73" s="34">
        <f>(O14/P14)-1</f>
        <v>-0.5265503727042189</v>
      </c>
      <c r="P73" s="34">
        <f>(P14/18461)-1</f>
        <v>-0.2951086073343806</v>
      </c>
    </row>
    <row r="74" spans="1:16" ht="11.25">
      <c r="A74" s="2" t="s">
        <v>65</v>
      </c>
      <c r="C74" s="32">
        <f aca="true" t="shared" si="25" ref="C74:J74">(C16/G16)-1</f>
        <v>0.17024230787540273</v>
      </c>
      <c r="D74" s="32">
        <f t="shared" si="25"/>
        <v>0.16786022793769328</v>
      </c>
      <c r="E74" s="32">
        <f t="shared" si="25"/>
        <v>0.06278047912157914</v>
      </c>
      <c r="F74" s="33">
        <f t="shared" si="25"/>
        <v>0.32388519792118764</v>
      </c>
      <c r="G74" s="34">
        <f t="shared" si="25"/>
        <v>-0.010970212498822907</v>
      </c>
      <c r="H74" s="34">
        <f t="shared" si="25"/>
        <v>0.303528186749322</v>
      </c>
      <c r="I74" s="34">
        <f t="shared" si="25"/>
        <v>0.399334006319074</v>
      </c>
      <c r="J74" s="34">
        <f t="shared" si="25"/>
        <v>0.157052355077129</v>
      </c>
      <c r="K74" s="35">
        <f>K16/O16-1</f>
        <v>0.887744974595227</v>
      </c>
      <c r="L74" s="32">
        <f>L16/46787-1</f>
        <v>0.765276679419497</v>
      </c>
      <c r="M74" s="32">
        <f>M16/42538-1</f>
        <v>0.7931496544266303</v>
      </c>
      <c r="N74" s="32">
        <f>N16/45036-1</f>
        <v>0.724442668087752</v>
      </c>
      <c r="O74" s="34">
        <f>(O16/P16)-1</f>
        <v>0.7432858175808283</v>
      </c>
      <c r="P74" s="34">
        <f>P16/30703-1</f>
        <v>0.261244829495489</v>
      </c>
    </row>
    <row r="75" spans="2:16" ht="11.25">
      <c r="B75" s="2" t="s">
        <v>15</v>
      </c>
      <c r="C75" s="32">
        <v>0</v>
      </c>
      <c r="D75" s="32">
        <v>0</v>
      </c>
      <c r="E75" s="32">
        <v>0</v>
      </c>
      <c r="F75" s="33">
        <v>0</v>
      </c>
      <c r="G75" s="34">
        <v>0</v>
      </c>
      <c r="H75" s="34">
        <v>0</v>
      </c>
      <c r="I75" s="34">
        <v>0</v>
      </c>
      <c r="J75" s="34">
        <v>0</v>
      </c>
      <c r="K75" s="35">
        <v>0</v>
      </c>
      <c r="L75" s="32">
        <v>0</v>
      </c>
      <c r="M75" s="32">
        <v>0</v>
      </c>
      <c r="N75" s="32">
        <v>0</v>
      </c>
      <c r="O75" s="34">
        <v>0</v>
      </c>
      <c r="P75" s="34">
        <v>0</v>
      </c>
    </row>
    <row r="76" spans="2:16" ht="11.25">
      <c r="B76" s="2" t="s">
        <v>16</v>
      </c>
      <c r="C76" s="32">
        <f aca="true" t="shared" si="26" ref="C76:J76">(C21/G21)-1</f>
        <v>0.17024230787540273</v>
      </c>
      <c r="D76" s="32">
        <f t="shared" si="26"/>
        <v>0.16786022793769328</v>
      </c>
      <c r="E76" s="32">
        <f t="shared" si="26"/>
        <v>0.06278047912157914</v>
      </c>
      <c r="F76" s="33">
        <f t="shared" si="26"/>
        <v>0.32388519792118764</v>
      </c>
      <c r="G76" s="34">
        <f t="shared" si="26"/>
        <v>-0.010970212498822907</v>
      </c>
      <c r="H76" s="34">
        <f t="shared" si="26"/>
        <v>0.303528186749322</v>
      </c>
      <c r="I76" s="34">
        <f t="shared" si="26"/>
        <v>0.399334006319074</v>
      </c>
      <c r="J76" s="34">
        <f t="shared" si="26"/>
        <v>0.157052355077129</v>
      </c>
      <c r="K76" s="35">
        <f>K21/O21-1</f>
        <v>0.887744974595227</v>
      </c>
      <c r="L76" s="32">
        <f>(L21/46787)-1</f>
        <v>0.765276679419497</v>
      </c>
      <c r="M76" s="32">
        <f>(M21/42538)-1</f>
        <v>0.7931496544266303</v>
      </c>
      <c r="N76" s="32">
        <f>(N21/45036)-1</f>
        <v>0.724442668087752</v>
      </c>
      <c r="O76" s="34">
        <f>(O21/P21)-1</f>
        <v>0.7432858175808283</v>
      </c>
      <c r="P76" s="34">
        <f>(P21/30703)-1</f>
        <v>0.261244829495489</v>
      </c>
    </row>
    <row r="77" spans="1:16" ht="11.25">
      <c r="A77" s="2" t="s">
        <v>66</v>
      </c>
      <c r="C77" s="32">
        <f aca="true" t="shared" si="27" ref="C77:K77">(C25/G25)-1</f>
        <v>0.2547162831989347</v>
      </c>
      <c r="D77" s="32">
        <f t="shared" si="27"/>
        <v>0.45100482315112544</v>
      </c>
      <c r="E77" s="32">
        <f t="shared" si="27"/>
        <v>0.18478928615308998</v>
      </c>
      <c r="F77" s="33">
        <f t="shared" si="27"/>
        <v>0.2266120948880721</v>
      </c>
      <c r="G77" s="34">
        <f t="shared" si="27"/>
        <v>-0.31545629494581184</v>
      </c>
      <c r="H77" s="34">
        <f t="shared" si="27"/>
        <v>-0.36412196181664835</v>
      </c>
      <c r="I77" s="34">
        <f t="shared" si="27"/>
        <v>-0.3687272163189328</v>
      </c>
      <c r="J77" s="34">
        <f t="shared" si="27"/>
        <v>-0.4908348573129758</v>
      </c>
      <c r="K77" s="35">
        <f t="shared" si="27"/>
        <v>-0.14860407459307967</v>
      </c>
      <c r="L77" s="32">
        <f>(L25/45809)-1</f>
        <v>-0.1458665327774018</v>
      </c>
      <c r="M77" s="32">
        <f>(M25/45377)-1</f>
        <v>-0.14760781893911012</v>
      </c>
      <c r="N77" s="32">
        <f>(N25/45827)-1</f>
        <v>0.02616361533593725</v>
      </c>
      <c r="O77" s="34">
        <f>(O25/P25)-1</f>
        <v>0.022213896908125363</v>
      </c>
      <c r="P77" s="34">
        <f>(P25/44910)-1</f>
        <v>0.010398574927632964</v>
      </c>
    </row>
    <row r="78" spans="1:16" ht="11.25">
      <c r="A78" s="3" t="s">
        <v>67</v>
      </c>
      <c r="B78" s="3"/>
      <c r="C78" s="36">
        <f aca="true" t="shared" si="28" ref="C78:K78">(C40/G40)-1</f>
        <v>0.7984997413347128</v>
      </c>
      <c r="D78" s="36">
        <f t="shared" si="28"/>
        <v>4.335280373831775</v>
      </c>
      <c r="E78" s="36">
        <f t="shared" si="28"/>
        <v>0.5708566853482786</v>
      </c>
      <c r="F78" s="37">
        <f t="shared" si="28"/>
        <v>2.16600790513834</v>
      </c>
      <c r="G78" s="36">
        <f t="shared" si="28"/>
        <v>0.3603096410978184</v>
      </c>
      <c r="H78" s="36">
        <f t="shared" si="28"/>
        <v>-0.30912025827280065</v>
      </c>
      <c r="I78" s="36">
        <f t="shared" si="28"/>
        <v>-0.3847290640394089</v>
      </c>
      <c r="J78" s="36">
        <f t="shared" si="28"/>
        <v>0.18965517241379315</v>
      </c>
      <c r="K78" s="38">
        <f t="shared" si="28"/>
        <v>0.6002252252252251</v>
      </c>
      <c r="L78" s="36">
        <f>(L40/1202)-1</f>
        <v>1.0615640599001663</v>
      </c>
      <c r="M78" s="36">
        <f>(M40/774)-1</f>
        <v>1.6227390180878554</v>
      </c>
      <c r="N78" s="36">
        <f>(N40/449)-1</f>
        <v>0.42093541202672613</v>
      </c>
      <c r="O78" s="36">
        <f>(O40/P40)-1</f>
        <v>2.7948717948717947</v>
      </c>
      <c r="P78" s="36">
        <f>(P40/936)-1</f>
        <v>-0.5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2017-06-16T16:09:21Z</dcterms:created>
  <dcterms:modified xsi:type="dcterms:W3CDTF">2017-06-16T16:09:26Z</dcterms:modified>
  <cp:category/>
  <cp:version/>
  <cp:contentType/>
  <cp:contentStatus/>
</cp:coreProperties>
</file>