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ladex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<sst xmlns="http://schemas.openxmlformats.org/spreadsheetml/2006/main" count="89" uniqueCount="68">
  <si>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18-26</t>
  </si>
  <si>
    <t>BANCO LATINOAMERICANO DE EXPORTACIONES (BLADEX)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</si>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</sst>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9">
    <font>
      <sz val="10"/>
      <name val="Arial"/>
      <family val="0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195" fontId="1" fillId="0" borderId="0" xfId="46" applyNumberFormat="1" applyFont="1" applyAlignment="1">
      <alignment/>
    </xf>
    <xf numFmtId="195" fontId="2" fillId="0" borderId="0" xfId="46" applyNumberFormat="1" applyFont="1" applyAlignment="1">
      <alignment/>
    </xf>
    <xf numFmtId="195" fontId="2" fillId="0" borderId="10" xfId="46" applyNumberFormat="1" applyFont="1" applyBorder="1" applyAlignment="1">
      <alignment/>
    </xf>
    <xf numFmtId="10" fontId="2" fillId="0" borderId="0" xfId="52" applyNumberFormat="1" applyFont="1" applyAlignment="1">
      <alignment/>
    </xf>
    <xf numFmtId="10" fontId="2" fillId="0" borderId="10" xfId="52" applyNumberFormat="1" applyFont="1" applyBorder="1" applyAlignment="1">
      <alignment/>
    </xf>
    <xf numFmtId="197" fontId="2" fillId="0" borderId="0" xfId="52" applyNumberFormat="1" applyFont="1" applyAlignment="1">
      <alignment/>
    </xf>
    <xf numFmtId="197" fontId="2" fillId="0" borderId="10" xfId="5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95" fontId="4" fillId="0" borderId="0" xfId="46" applyNumberFormat="1" applyFont="1" applyAlignment="1">
      <alignment/>
    </xf>
    <xf numFmtId="195" fontId="4" fillId="0" borderId="16" xfId="46" applyNumberFormat="1" applyFont="1" applyBorder="1" applyAlignment="1">
      <alignment/>
    </xf>
    <xf numFmtId="195" fontId="4" fillId="0" borderId="0" xfId="46" applyNumberFormat="1" applyFont="1" applyBorder="1" applyAlignment="1">
      <alignment/>
    </xf>
    <xf numFmtId="0" fontId="3" fillId="0" borderId="0" xfId="0" applyFont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"/>
    </sheetView>
  </sheetViews>
  <sheetFormatPr defaultColWidth="11.421875" defaultRowHeight="12.75"/>
  <cols>
    <col min="1" max="1" width="1.7109375" style="25" customWidth="1"/>
    <col min="2" max="2" width="19.7109375" style="25" customWidth="1"/>
    <col min="3" max="3" width="8.8515625" style="25" customWidth="1"/>
    <col min="4" max="4" width="9.00390625" style="25" customWidth="1"/>
    <col min="5" max="5" width="8.8515625" style="25" customWidth="1"/>
    <col min="6" max="6" width="9.140625" style="25" customWidth="1"/>
    <col min="7" max="8" width="9.00390625" style="25" customWidth="1"/>
    <col min="9" max="10" width="8.7109375" style="25" customWidth="1"/>
    <col min="11" max="11" width="8.8515625" style="25" customWidth="1"/>
    <col min="12" max="12" width="8.7109375" style="25" customWidth="1"/>
    <col min="13" max="13" width="9.00390625" style="25" customWidth="1"/>
    <col min="14" max="14" width="8.8515625" style="25" customWidth="1"/>
    <col min="15" max="16" width="7.421875" style="1" hidden="1" customWidth="1"/>
    <col min="17" max="16384" width="11.421875" style="1" customWidth="1"/>
  </cols>
  <sheetData>
    <row r="1" spans="2:16" ht="11.25">
      <c r="B1" s="58"/>
      <c r="C1" s="58"/>
      <c r="D1" s="58"/>
      <c r="E1" s="58"/>
      <c r="F1" s="58"/>
      <c r="H1" s="58" t="s">
        <v>0</v>
      </c>
      <c r="I1" s="58"/>
      <c r="J1" s="58"/>
      <c r="K1" s="58"/>
      <c r="L1" s="58"/>
      <c r="M1" s="58"/>
      <c r="N1" s="58"/>
      <c r="O1" s="58"/>
      <c r="P1" s="58"/>
    </row>
    <row r="2" spans="2:16" ht="11.25">
      <c r="B2" s="58"/>
      <c r="C2" s="58"/>
      <c r="D2" s="58"/>
      <c r="E2" s="58"/>
      <c r="F2" s="58"/>
      <c r="H2" s="58" t="s">
        <v>1</v>
      </c>
      <c r="I2" s="58"/>
      <c r="J2" s="58"/>
      <c r="K2" s="58"/>
      <c r="L2" s="58"/>
      <c r="M2" s="58"/>
      <c r="N2" s="58"/>
      <c r="O2" s="58"/>
      <c r="P2" s="58"/>
    </row>
    <row r="3" spans="2:16" ht="11.25">
      <c r="B3" s="58"/>
      <c r="C3" s="58"/>
      <c r="D3" s="58"/>
      <c r="E3" s="58"/>
      <c r="F3" s="58"/>
      <c r="H3" s="58" t="s">
        <v>2</v>
      </c>
      <c r="I3" s="58"/>
      <c r="J3" s="58"/>
      <c r="K3" s="58"/>
      <c r="L3" s="58"/>
      <c r="M3" s="58"/>
      <c r="N3" s="58"/>
      <c r="O3" s="58"/>
      <c r="P3" s="58"/>
    </row>
    <row r="4" spans="1:16" ht="11.25">
      <c r="A4" s="1"/>
      <c r="B4" s="57"/>
      <c r="C4" s="57"/>
      <c r="D4" s="57"/>
      <c r="E4" s="57"/>
      <c r="F4" s="57"/>
      <c r="G4" s="1"/>
      <c r="H4" s="57" t="s">
        <v>3</v>
      </c>
      <c r="I4" s="57"/>
      <c r="J4" s="57"/>
      <c r="K4" s="57"/>
      <c r="L4" s="57"/>
      <c r="M4" s="57"/>
      <c r="N4" s="57"/>
      <c r="O4" s="57"/>
      <c r="P4" s="57"/>
    </row>
    <row r="5" spans="1:16" ht="11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2"/>
      <c r="P6" s="2"/>
    </row>
    <row r="7" spans="1:16" ht="11.25">
      <c r="A7" s="13"/>
      <c r="B7" s="13"/>
      <c r="C7" s="60">
        <v>2002</v>
      </c>
      <c r="D7" s="60"/>
      <c r="E7" s="60"/>
      <c r="F7" s="62"/>
      <c r="G7" s="60">
        <v>2001</v>
      </c>
      <c r="H7" s="60"/>
      <c r="I7" s="60"/>
      <c r="J7" s="60"/>
      <c r="K7" s="59">
        <v>2000</v>
      </c>
      <c r="L7" s="60"/>
      <c r="M7" s="60"/>
      <c r="N7" s="60"/>
      <c r="O7" s="61" t="s">
        <v>4</v>
      </c>
      <c r="P7" s="61"/>
    </row>
    <row r="8" spans="1:16" ht="11.25">
      <c r="A8" s="14"/>
      <c r="B8" s="14"/>
      <c r="C8" s="15" t="s">
        <v>5</v>
      </c>
      <c r="D8" s="14" t="s">
        <v>6</v>
      </c>
      <c r="E8" s="16" t="s">
        <v>7</v>
      </c>
      <c r="F8" s="17" t="s">
        <v>8</v>
      </c>
      <c r="G8" s="15" t="s">
        <v>5</v>
      </c>
      <c r="H8" s="14" t="s">
        <v>6</v>
      </c>
      <c r="I8" s="14" t="s">
        <v>7</v>
      </c>
      <c r="J8" s="14" t="s">
        <v>8</v>
      </c>
      <c r="K8" s="18" t="s">
        <v>5</v>
      </c>
      <c r="L8" s="14" t="s">
        <v>6</v>
      </c>
      <c r="M8" s="14" t="s">
        <v>7</v>
      </c>
      <c r="N8" s="15" t="s">
        <v>8</v>
      </c>
      <c r="O8" s="3" t="s">
        <v>9</v>
      </c>
      <c r="P8" s="3" t="s">
        <v>10</v>
      </c>
    </row>
    <row r="9" spans="1:16" ht="11.25">
      <c r="A9" s="19" t="s">
        <v>11</v>
      </c>
      <c r="B9" s="19"/>
      <c r="C9" s="19"/>
      <c r="D9" s="19"/>
      <c r="E9" s="20"/>
      <c r="F9" s="21"/>
      <c r="G9" s="19"/>
      <c r="H9" s="19"/>
      <c r="I9" s="19"/>
      <c r="J9" s="22"/>
      <c r="K9" s="23"/>
      <c r="L9" s="24"/>
      <c r="M9" s="24"/>
      <c r="N9" s="24"/>
      <c r="O9" s="4"/>
      <c r="P9" s="4"/>
    </row>
    <row r="10" spans="1:16" ht="11.25">
      <c r="A10" s="25" t="s">
        <v>12</v>
      </c>
      <c r="C10" s="26">
        <v>3098512</v>
      </c>
      <c r="D10" s="26">
        <v>3569875</v>
      </c>
      <c r="E10" s="27">
        <v>4076727</v>
      </c>
      <c r="F10" s="28">
        <v>4860923</v>
      </c>
      <c r="G10" s="26">
        <v>5771095</v>
      </c>
      <c r="H10" s="26">
        <v>5948485</v>
      </c>
      <c r="I10" s="26">
        <v>5477809</v>
      </c>
      <c r="J10" s="26">
        <v>5728562</v>
      </c>
      <c r="K10" s="29">
        <v>5354799</v>
      </c>
      <c r="L10" s="27">
        <v>5234557</v>
      </c>
      <c r="M10" s="27">
        <v>4665085</v>
      </c>
      <c r="N10" s="27">
        <v>4561110</v>
      </c>
      <c r="O10" s="5">
        <v>4956888</v>
      </c>
      <c r="P10" s="5">
        <v>4979769</v>
      </c>
    </row>
    <row r="11" spans="1:16" ht="11.25">
      <c r="A11" s="25" t="s">
        <v>13</v>
      </c>
      <c r="C11" s="26">
        <v>364244</v>
      </c>
      <c r="D11" s="26">
        <v>411680</v>
      </c>
      <c r="E11" s="27">
        <v>509138</v>
      </c>
      <c r="F11" s="28">
        <v>625875</v>
      </c>
      <c r="G11" s="26">
        <v>559215</v>
      </c>
      <c r="H11" s="26">
        <v>585978</v>
      </c>
      <c r="I11" s="26">
        <v>272993</v>
      </c>
      <c r="J11" s="26">
        <v>237776</v>
      </c>
      <c r="K11" s="29">
        <v>297024</v>
      </c>
      <c r="L11" s="27">
        <v>237731</v>
      </c>
      <c r="M11" s="27">
        <v>231840</v>
      </c>
      <c r="N11" s="27">
        <v>312992</v>
      </c>
      <c r="O11" s="5">
        <v>380981</v>
      </c>
      <c r="P11" s="5">
        <v>286251</v>
      </c>
    </row>
    <row r="12" spans="1:16" ht="11.25">
      <c r="A12" s="25" t="s">
        <v>14</v>
      </c>
      <c r="C12" s="27">
        <f aca="true" t="shared" si="0" ref="C12:P12">C13+C14</f>
        <v>2279773</v>
      </c>
      <c r="D12" s="27">
        <f t="shared" si="0"/>
        <v>2622848</v>
      </c>
      <c r="E12" s="27">
        <f t="shared" si="0"/>
        <v>3052576</v>
      </c>
      <c r="F12" s="28">
        <f t="shared" si="0"/>
        <v>3547589</v>
      </c>
      <c r="G12" s="26">
        <f t="shared" si="0"/>
        <v>4611553</v>
      </c>
      <c r="H12" s="26">
        <f t="shared" si="0"/>
        <v>4799501</v>
      </c>
      <c r="I12" s="26">
        <f t="shared" si="0"/>
        <v>4574667</v>
      </c>
      <c r="J12" s="26">
        <f t="shared" si="0"/>
        <v>4835006</v>
      </c>
      <c r="K12" s="29">
        <f t="shared" si="0"/>
        <v>4491717</v>
      </c>
      <c r="L12" s="27">
        <f t="shared" si="0"/>
        <v>4538325</v>
      </c>
      <c r="M12" s="27">
        <f t="shared" si="0"/>
        <v>4070039</v>
      </c>
      <c r="N12" s="27">
        <f t="shared" si="0"/>
        <v>3874901</v>
      </c>
      <c r="O12" s="5">
        <f t="shared" si="0"/>
        <v>4225913</v>
      </c>
      <c r="P12" s="5">
        <f t="shared" si="0"/>
        <v>4409256</v>
      </c>
    </row>
    <row r="13" spans="2:16" ht="11.25">
      <c r="B13" s="25" t="s">
        <v>15</v>
      </c>
      <c r="C13" s="26">
        <v>281115</v>
      </c>
      <c r="D13" s="26">
        <v>309350</v>
      </c>
      <c r="E13" s="27">
        <v>321188</v>
      </c>
      <c r="F13" s="28">
        <v>314301</v>
      </c>
      <c r="G13" s="26">
        <v>666350</v>
      </c>
      <c r="H13" s="26">
        <v>617700</v>
      </c>
      <c r="I13" s="26">
        <v>482963</v>
      </c>
      <c r="J13" s="26">
        <v>464550</v>
      </c>
      <c r="K13" s="29">
        <v>399647</v>
      </c>
      <c r="L13" s="27">
        <v>455632</v>
      </c>
      <c r="M13" s="27">
        <v>422650</v>
      </c>
      <c r="N13" s="27">
        <v>406652</v>
      </c>
      <c r="O13" s="5">
        <v>512374</v>
      </c>
      <c r="P13" s="5">
        <v>303306</v>
      </c>
    </row>
    <row r="14" spans="2:16" ht="11.25">
      <c r="B14" s="25" t="s">
        <v>16</v>
      </c>
      <c r="C14" s="26">
        <v>1998658</v>
      </c>
      <c r="D14" s="26">
        <v>2313498</v>
      </c>
      <c r="E14" s="27">
        <v>2731388</v>
      </c>
      <c r="F14" s="28">
        <v>3233288</v>
      </c>
      <c r="G14" s="26">
        <v>3945203</v>
      </c>
      <c r="H14" s="26">
        <v>4181801</v>
      </c>
      <c r="I14" s="26">
        <v>4091704</v>
      </c>
      <c r="J14" s="26">
        <v>4370456</v>
      </c>
      <c r="K14" s="29">
        <v>4092070</v>
      </c>
      <c r="L14" s="27">
        <v>4082693</v>
      </c>
      <c r="M14" s="27">
        <v>3647389</v>
      </c>
      <c r="N14" s="27">
        <v>3468249</v>
      </c>
      <c r="O14" s="5">
        <v>3713539</v>
      </c>
      <c r="P14" s="5">
        <v>4105950</v>
      </c>
    </row>
    <row r="15" spans="1:16" ht="11.25">
      <c r="A15" s="25" t="s">
        <v>17</v>
      </c>
      <c r="C15" s="26">
        <v>332206</v>
      </c>
      <c r="D15" s="26">
        <v>415615</v>
      </c>
      <c r="E15" s="27">
        <v>413391</v>
      </c>
      <c r="F15" s="28">
        <v>580183</v>
      </c>
      <c r="G15" s="26">
        <v>430346</v>
      </c>
      <c r="H15" s="26">
        <v>412544</v>
      </c>
      <c r="I15" s="26">
        <v>461222</v>
      </c>
      <c r="J15" s="26">
        <v>472145</v>
      </c>
      <c r="K15" s="29">
        <v>425314</v>
      </c>
      <c r="L15" s="27">
        <v>299824</v>
      </c>
      <c r="M15" s="27">
        <v>253121</v>
      </c>
      <c r="N15" s="27">
        <v>225748</v>
      </c>
      <c r="O15" s="5">
        <v>208406</v>
      </c>
      <c r="P15" s="5">
        <v>192552</v>
      </c>
    </row>
    <row r="16" spans="1:16" ht="11.25">
      <c r="A16" s="25" t="s">
        <v>18</v>
      </c>
      <c r="C16" s="27">
        <f aca="true" t="shared" si="1" ref="C16:P16">C17+C21</f>
        <v>401842</v>
      </c>
      <c r="D16" s="27">
        <f t="shared" si="1"/>
        <v>417379</v>
      </c>
      <c r="E16" s="27">
        <f t="shared" si="1"/>
        <v>558840</v>
      </c>
      <c r="F16" s="28">
        <f t="shared" si="1"/>
        <v>746744</v>
      </c>
      <c r="G16" s="26">
        <f t="shared" si="1"/>
        <v>1314868</v>
      </c>
      <c r="H16" s="26">
        <f t="shared" si="1"/>
        <v>1499518</v>
      </c>
      <c r="I16" s="26">
        <f t="shared" si="1"/>
        <v>1413841</v>
      </c>
      <c r="J16" s="26">
        <f t="shared" si="1"/>
        <v>1478471</v>
      </c>
      <c r="K16" s="29">
        <f t="shared" si="1"/>
        <v>1436511</v>
      </c>
      <c r="L16" s="27">
        <f t="shared" si="1"/>
        <v>1553178</v>
      </c>
      <c r="M16" s="27">
        <f t="shared" si="1"/>
        <v>1503445</v>
      </c>
      <c r="N16" s="27">
        <f t="shared" si="1"/>
        <v>1361304</v>
      </c>
      <c r="O16" s="5">
        <f t="shared" si="1"/>
        <v>1360363</v>
      </c>
      <c r="P16" s="5">
        <f t="shared" si="1"/>
        <v>1048523</v>
      </c>
    </row>
    <row r="17" spans="2:16" ht="11.25">
      <c r="B17" s="25" t="s">
        <v>15</v>
      </c>
      <c r="C17" s="27">
        <f aca="true" t="shared" si="2" ref="C17:P17">SUM(C18:C20)</f>
        <v>52050</v>
      </c>
      <c r="D17" s="27">
        <f t="shared" si="2"/>
        <v>93022</v>
      </c>
      <c r="E17" s="27">
        <f t="shared" si="2"/>
        <v>62688</v>
      </c>
      <c r="F17" s="28">
        <f t="shared" si="2"/>
        <v>75844</v>
      </c>
      <c r="G17" s="26">
        <f t="shared" si="2"/>
        <v>145185</v>
      </c>
      <c r="H17" s="26">
        <f t="shared" si="2"/>
        <v>228012</v>
      </c>
      <c r="I17" s="26">
        <f t="shared" si="2"/>
        <v>270055</v>
      </c>
      <c r="J17" s="26">
        <f t="shared" si="2"/>
        <v>357787</v>
      </c>
      <c r="K17" s="29">
        <f t="shared" si="2"/>
        <v>364680</v>
      </c>
      <c r="L17" s="27">
        <f t="shared" si="2"/>
        <v>329465</v>
      </c>
      <c r="M17" s="27">
        <f t="shared" si="2"/>
        <v>360680</v>
      </c>
      <c r="N17" s="27">
        <f t="shared" si="2"/>
        <v>295308</v>
      </c>
      <c r="O17" s="5">
        <f t="shared" si="2"/>
        <v>267411</v>
      </c>
      <c r="P17" s="5">
        <f t="shared" si="2"/>
        <v>229784</v>
      </c>
    </row>
    <row r="18" spans="2:16" ht="11.25">
      <c r="B18" s="25" t="s">
        <v>19</v>
      </c>
      <c r="C18" s="26">
        <v>0</v>
      </c>
      <c r="D18" s="26">
        <v>0</v>
      </c>
      <c r="E18" s="27">
        <v>321</v>
      </c>
      <c r="F18" s="28">
        <v>319</v>
      </c>
      <c r="G18" s="26">
        <v>0</v>
      </c>
      <c r="H18" s="26">
        <v>0</v>
      </c>
      <c r="I18" s="26">
        <v>0</v>
      </c>
      <c r="J18" s="26">
        <v>0</v>
      </c>
      <c r="K18" s="29">
        <v>1328</v>
      </c>
      <c r="L18" s="27">
        <v>0</v>
      </c>
      <c r="M18" s="27">
        <v>0</v>
      </c>
      <c r="N18" s="27">
        <v>0</v>
      </c>
      <c r="O18" s="5">
        <v>0</v>
      </c>
      <c r="P18" s="5">
        <v>14</v>
      </c>
    </row>
    <row r="19" spans="2:16" ht="11.25">
      <c r="B19" s="25" t="s">
        <v>20</v>
      </c>
      <c r="C19" s="26">
        <v>0</v>
      </c>
      <c r="D19" s="27">
        <v>0</v>
      </c>
      <c r="E19" s="27">
        <v>0</v>
      </c>
      <c r="F19" s="28">
        <v>44</v>
      </c>
      <c r="G19" s="26">
        <f>4005+43</f>
        <v>4048</v>
      </c>
      <c r="H19" s="26">
        <v>4027</v>
      </c>
      <c r="I19" s="26">
        <f>8628</f>
        <v>8628</v>
      </c>
      <c r="J19" s="26">
        <v>35020</v>
      </c>
      <c r="K19" s="29">
        <v>44422</v>
      </c>
      <c r="L19" s="27">
        <v>9477</v>
      </c>
      <c r="M19" s="27">
        <f>1389</f>
        <v>1389</v>
      </c>
      <c r="N19" s="27">
        <v>101</v>
      </c>
      <c r="O19" s="5">
        <v>858</v>
      </c>
      <c r="P19" s="5">
        <v>917</v>
      </c>
    </row>
    <row r="20" spans="2:16" ht="11.25">
      <c r="B20" s="25" t="s">
        <v>21</v>
      </c>
      <c r="C20" s="26">
        <v>52050</v>
      </c>
      <c r="D20" s="26">
        <v>93022</v>
      </c>
      <c r="E20" s="27">
        <v>62367</v>
      </c>
      <c r="F20" s="28">
        <v>75481</v>
      </c>
      <c r="G20" s="26">
        <f>2808+138329</f>
        <v>141137</v>
      </c>
      <c r="H20" s="26">
        <v>223985</v>
      </c>
      <c r="I20" s="26">
        <v>261427</v>
      </c>
      <c r="J20" s="26">
        <v>322767</v>
      </c>
      <c r="K20" s="29">
        <v>318930</v>
      </c>
      <c r="L20" s="27">
        <v>319988</v>
      </c>
      <c r="M20" s="27">
        <v>359291</v>
      </c>
      <c r="N20" s="27">
        <v>295207</v>
      </c>
      <c r="O20" s="5">
        <v>266553</v>
      </c>
      <c r="P20" s="5">
        <v>228853</v>
      </c>
    </row>
    <row r="21" spans="2:16" ht="11.25">
      <c r="B21" s="25" t="s">
        <v>16</v>
      </c>
      <c r="C21" s="27">
        <f>SUM(C22:C24)</f>
        <v>349792</v>
      </c>
      <c r="D21" s="27">
        <f aca="true" t="shared" si="3" ref="D21:P21">SUM(D23:D24)</f>
        <v>324357</v>
      </c>
      <c r="E21" s="27">
        <f t="shared" si="3"/>
        <v>496152</v>
      </c>
      <c r="F21" s="28">
        <f t="shared" si="3"/>
        <v>670900</v>
      </c>
      <c r="G21" s="26">
        <f t="shared" si="3"/>
        <v>1169683</v>
      </c>
      <c r="H21" s="26">
        <f t="shared" si="3"/>
        <v>1271506</v>
      </c>
      <c r="I21" s="26">
        <f t="shared" si="3"/>
        <v>1143786</v>
      </c>
      <c r="J21" s="26">
        <f t="shared" si="3"/>
        <v>1120684</v>
      </c>
      <c r="K21" s="29">
        <f t="shared" si="3"/>
        <v>1071831</v>
      </c>
      <c r="L21" s="27">
        <f t="shared" si="3"/>
        <v>1223713</v>
      </c>
      <c r="M21" s="27">
        <f t="shared" si="3"/>
        <v>1142765</v>
      </c>
      <c r="N21" s="27">
        <f t="shared" si="3"/>
        <v>1065996</v>
      </c>
      <c r="O21" s="5">
        <f t="shared" si="3"/>
        <v>1092952</v>
      </c>
      <c r="P21" s="5">
        <f t="shared" si="3"/>
        <v>818739</v>
      </c>
    </row>
    <row r="22" spans="2:16" ht="11.25">
      <c r="B22" s="25" t="s">
        <v>19</v>
      </c>
      <c r="C22" s="27">
        <v>0</v>
      </c>
      <c r="D22" s="27">
        <v>0</v>
      </c>
      <c r="E22" s="27">
        <v>0</v>
      </c>
      <c r="F22" s="28">
        <v>0</v>
      </c>
      <c r="G22" s="26">
        <v>0</v>
      </c>
      <c r="H22" s="26">
        <v>0</v>
      </c>
      <c r="I22" s="26">
        <v>0</v>
      </c>
      <c r="J22" s="26">
        <v>0</v>
      </c>
      <c r="K22" s="29">
        <v>0</v>
      </c>
      <c r="L22" s="27">
        <v>0</v>
      </c>
      <c r="M22" s="27">
        <v>0</v>
      </c>
      <c r="N22" s="27">
        <v>0</v>
      </c>
      <c r="O22" s="5"/>
      <c r="P22" s="5"/>
    </row>
    <row r="23" spans="2:16" ht="11.25">
      <c r="B23" s="25" t="s">
        <v>20</v>
      </c>
      <c r="C23" s="26">
        <v>79610</v>
      </c>
      <c r="D23" s="26">
        <v>61592</v>
      </c>
      <c r="E23" s="27">
        <v>65657</v>
      </c>
      <c r="F23" s="28">
        <v>108103</v>
      </c>
      <c r="G23" s="26">
        <v>14706</v>
      </c>
      <c r="H23" s="26">
        <v>8998</v>
      </c>
      <c r="I23" s="26">
        <f>7968</f>
        <v>7968</v>
      </c>
      <c r="J23" s="26">
        <f>16033</f>
        <v>16033</v>
      </c>
      <c r="K23" s="29">
        <v>1344</v>
      </c>
      <c r="L23" s="27">
        <v>12177</v>
      </c>
      <c r="M23" s="27">
        <v>16042</v>
      </c>
      <c r="N23" s="27">
        <v>11114</v>
      </c>
      <c r="O23" s="5">
        <v>11703</v>
      </c>
      <c r="P23" s="5">
        <v>43513</v>
      </c>
    </row>
    <row r="24" spans="2:16" ht="11.25">
      <c r="B24" s="25" t="s">
        <v>21</v>
      </c>
      <c r="C24" s="26">
        <v>270182</v>
      </c>
      <c r="D24" s="26">
        <v>262765</v>
      </c>
      <c r="E24" s="27">
        <v>430495</v>
      </c>
      <c r="F24" s="28">
        <v>562797</v>
      </c>
      <c r="G24" s="26">
        <v>1154977</v>
      </c>
      <c r="H24" s="26">
        <v>1262508</v>
      </c>
      <c r="I24" s="26">
        <v>1135818</v>
      </c>
      <c r="J24" s="26">
        <v>1104651</v>
      </c>
      <c r="K24" s="29">
        <v>1070487</v>
      </c>
      <c r="L24" s="27">
        <v>1211536</v>
      </c>
      <c r="M24" s="27">
        <v>1126723</v>
      </c>
      <c r="N24" s="27">
        <v>1054882</v>
      </c>
      <c r="O24" s="5">
        <v>1081249</v>
      </c>
      <c r="P24" s="5">
        <v>775226</v>
      </c>
    </row>
    <row r="25" spans="1:16" ht="11.25">
      <c r="A25" s="11" t="s">
        <v>22</v>
      </c>
      <c r="B25" s="11"/>
      <c r="C25" s="30">
        <v>223359</v>
      </c>
      <c r="D25" s="30">
        <v>203098</v>
      </c>
      <c r="E25" s="30">
        <v>198894</v>
      </c>
      <c r="F25" s="31">
        <v>508846</v>
      </c>
      <c r="G25" s="30">
        <v>591471</v>
      </c>
      <c r="H25" s="30">
        <v>588829</v>
      </c>
      <c r="I25" s="30">
        <v>601984</v>
      </c>
      <c r="J25" s="30">
        <v>603999</v>
      </c>
      <c r="K25" s="32">
        <v>608867</v>
      </c>
      <c r="L25" s="30">
        <v>601842</v>
      </c>
      <c r="M25" s="30">
        <v>589612</v>
      </c>
      <c r="N25" s="30">
        <v>596373</v>
      </c>
      <c r="O25" s="6">
        <v>604424</v>
      </c>
      <c r="P25" s="6">
        <v>545127</v>
      </c>
    </row>
    <row r="26" spans="1:16" ht="11.25">
      <c r="A26" s="19" t="s">
        <v>23</v>
      </c>
      <c r="E26" s="27"/>
      <c r="F26" s="33"/>
      <c r="H26" s="26"/>
      <c r="J26" s="26"/>
      <c r="K26" s="29"/>
      <c r="L26" s="27"/>
      <c r="M26" s="27"/>
      <c r="N26" s="27"/>
      <c r="O26" s="5"/>
      <c r="P26" s="5"/>
    </row>
    <row r="27" spans="1:16" ht="11.25">
      <c r="A27" s="25" t="s">
        <v>12</v>
      </c>
      <c r="C27" s="27">
        <f aca="true" t="shared" si="4" ref="C27:K27">(C10+G10)/2</f>
        <v>4434803.5</v>
      </c>
      <c r="D27" s="27">
        <f t="shared" si="4"/>
        <v>4759180</v>
      </c>
      <c r="E27" s="27">
        <f t="shared" si="4"/>
        <v>4777268</v>
      </c>
      <c r="F27" s="28">
        <f t="shared" si="4"/>
        <v>5294742.5</v>
      </c>
      <c r="G27" s="26">
        <f t="shared" si="4"/>
        <v>5562947</v>
      </c>
      <c r="H27" s="26">
        <f t="shared" si="4"/>
        <v>5591521</v>
      </c>
      <c r="I27" s="26">
        <f t="shared" si="4"/>
        <v>5071447</v>
      </c>
      <c r="J27" s="26">
        <f t="shared" si="4"/>
        <v>5144836</v>
      </c>
      <c r="K27" s="29">
        <f t="shared" si="4"/>
        <v>5155843.5</v>
      </c>
      <c r="L27" s="27">
        <f>(L10+4783790)/2</f>
        <v>5009173.5</v>
      </c>
      <c r="M27" s="27">
        <f>(M10+5112685)/2</f>
        <v>4888885</v>
      </c>
      <c r="N27" s="27">
        <f>(N10+4977404)/2</f>
        <v>4769257</v>
      </c>
      <c r="O27" s="5">
        <f>(O10+P10)/2</f>
        <v>4968328.5</v>
      </c>
      <c r="P27" s="5">
        <f>(P10+4873537)/2</f>
        <v>4926653</v>
      </c>
    </row>
    <row r="28" spans="1:16" ht="11.25">
      <c r="A28" s="25" t="s">
        <v>24</v>
      </c>
      <c r="C28" s="27">
        <f aca="true" t="shared" si="5" ref="C28:P28">C29+C30</f>
        <v>3826939</v>
      </c>
      <c r="D28" s="27">
        <f t="shared" si="5"/>
        <v>4125254</v>
      </c>
      <c r="E28" s="27">
        <f t="shared" si="5"/>
        <v>4250928</v>
      </c>
      <c r="F28" s="28">
        <f t="shared" si="5"/>
        <v>4717461.5</v>
      </c>
      <c r="G28" s="26">
        <f t="shared" si="5"/>
        <v>4979465</v>
      </c>
      <c r="H28" s="26">
        <f t="shared" si="5"/>
        <v>5025097</v>
      </c>
      <c r="I28" s="26">
        <f t="shared" si="5"/>
        <v>4679524.5</v>
      </c>
      <c r="J28" s="26">
        <f t="shared" si="5"/>
        <v>4703900</v>
      </c>
      <c r="K28" s="29">
        <f t="shared" si="5"/>
        <v>4675675</v>
      </c>
      <c r="L28" s="27">
        <f t="shared" si="5"/>
        <v>4604913</v>
      </c>
      <c r="M28" s="27">
        <f t="shared" si="5"/>
        <v>4524091</v>
      </c>
      <c r="N28" s="27">
        <f t="shared" si="5"/>
        <v>4354111</v>
      </c>
      <c r="O28" s="5">
        <f t="shared" si="5"/>
        <v>4518063.5</v>
      </c>
      <c r="P28" s="5">
        <f t="shared" si="5"/>
        <v>4534877</v>
      </c>
    </row>
    <row r="29" spans="2:16" ht="11.25">
      <c r="B29" s="25" t="s">
        <v>14</v>
      </c>
      <c r="C29" s="27">
        <f aca="true" t="shared" si="6" ref="C29:K29">(C12+G12)/2</f>
        <v>3445663</v>
      </c>
      <c r="D29" s="27">
        <f t="shared" si="6"/>
        <v>3711174.5</v>
      </c>
      <c r="E29" s="27">
        <f t="shared" si="6"/>
        <v>3813621.5</v>
      </c>
      <c r="F29" s="28">
        <f t="shared" si="6"/>
        <v>4191297.5</v>
      </c>
      <c r="G29" s="26">
        <f t="shared" si="6"/>
        <v>4551635</v>
      </c>
      <c r="H29" s="26">
        <f t="shared" si="6"/>
        <v>4668913</v>
      </c>
      <c r="I29" s="26">
        <f t="shared" si="6"/>
        <v>4322353</v>
      </c>
      <c r="J29" s="26">
        <f t="shared" si="6"/>
        <v>4354953.5</v>
      </c>
      <c r="K29" s="29">
        <f t="shared" si="6"/>
        <v>4358815</v>
      </c>
      <c r="L29" s="27">
        <f>(L12+4170214)/2</f>
        <v>4354269.5</v>
      </c>
      <c r="M29" s="27">
        <f>(M12+4570402)/2</f>
        <v>4320220.5</v>
      </c>
      <c r="N29" s="27">
        <f>(N12+4431975)/2</f>
        <v>4153438</v>
      </c>
      <c r="O29" s="5">
        <f>(O12+P12)/2</f>
        <v>4317584.5</v>
      </c>
      <c r="P29" s="5">
        <f>(P12+4239130)/2</f>
        <v>4324193</v>
      </c>
    </row>
    <row r="30" spans="2:16" ht="11.25">
      <c r="B30" s="25" t="s">
        <v>17</v>
      </c>
      <c r="C30" s="27">
        <f aca="true" t="shared" si="7" ref="C30:K30">(C15+G15)/2</f>
        <v>381276</v>
      </c>
      <c r="D30" s="27">
        <f t="shared" si="7"/>
        <v>414079.5</v>
      </c>
      <c r="E30" s="27">
        <f t="shared" si="7"/>
        <v>437306.5</v>
      </c>
      <c r="F30" s="28">
        <f t="shared" si="7"/>
        <v>526164</v>
      </c>
      <c r="G30" s="26">
        <f t="shared" si="7"/>
        <v>427830</v>
      </c>
      <c r="H30" s="26">
        <f t="shared" si="7"/>
        <v>356184</v>
      </c>
      <c r="I30" s="26">
        <f t="shared" si="7"/>
        <v>357171.5</v>
      </c>
      <c r="J30" s="26">
        <f t="shared" si="7"/>
        <v>348946.5</v>
      </c>
      <c r="K30" s="29">
        <f t="shared" si="7"/>
        <v>316860</v>
      </c>
      <c r="L30" s="27">
        <f>(L15+201463)/2</f>
        <v>250643.5</v>
      </c>
      <c r="M30" s="27">
        <f>(M15+154620)/2</f>
        <v>203870.5</v>
      </c>
      <c r="N30" s="27">
        <f>(N15+175598)/2</f>
        <v>200673</v>
      </c>
      <c r="O30" s="5">
        <f>(O15+P15)/2</f>
        <v>200479</v>
      </c>
      <c r="P30" s="5">
        <f>(P15+228816)/2</f>
        <v>210684</v>
      </c>
    </row>
    <row r="31" spans="1:16" ht="11.25">
      <c r="A31" s="11" t="s">
        <v>22</v>
      </c>
      <c r="B31" s="11"/>
      <c r="C31" s="30">
        <f aca="true" t="shared" si="8" ref="C31:K31">(C25+G25)/2</f>
        <v>407415</v>
      </c>
      <c r="D31" s="30">
        <f t="shared" si="8"/>
        <v>395963.5</v>
      </c>
      <c r="E31" s="30">
        <f t="shared" si="8"/>
        <v>400439</v>
      </c>
      <c r="F31" s="31">
        <f t="shared" si="8"/>
        <v>556422.5</v>
      </c>
      <c r="G31" s="30">
        <f t="shared" si="8"/>
        <v>600169</v>
      </c>
      <c r="H31" s="30">
        <f t="shared" si="8"/>
        <v>595335.5</v>
      </c>
      <c r="I31" s="30">
        <f t="shared" si="8"/>
        <v>595798</v>
      </c>
      <c r="J31" s="30">
        <f t="shared" si="8"/>
        <v>600186</v>
      </c>
      <c r="K31" s="32">
        <f t="shared" si="8"/>
        <v>606645.5</v>
      </c>
      <c r="L31" s="30">
        <f>(L25+586204)/2</f>
        <v>594023</v>
      </c>
      <c r="M31" s="30">
        <f>(M25+562696)/2</f>
        <v>576154</v>
      </c>
      <c r="N31" s="30">
        <f>(N25+542664)/2</f>
        <v>569518.5</v>
      </c>
      <c r="O31" s="6">
        <f>(O25+P25)/2</f>
        <v>574775.5</v>
      </c>
      <c r="P31" s="6">
        <f>(P25+511468)/2</f>
        <v>528297.5</v>
      </c>
    </row>
    <row r="32" spans="1:14" ht="11.25">
      <c r="A32" s="19" t="s">
        <v>25</v>
      </c>
      <c r="E32" s="27"/>
      <c r="F32" s="33"/>
      <c r="H32" s="26"/>
      <c r="J32" s="26"/>
      <c r="K32" s="34"/>
      <c r="L32" s="12"/>
      <c r="M32" s="12"/>
      <c r="N32" s="12"/>
    </row>
    <row r="33" spans="1:16" ht="11.25">
      <c r="A33" s="25" t="s">
        <v>26</v>
      </c>
      <c r="C33" s="26">
        <v>155601</v>
      </c>
      <c r="D33" s="26">
        <v>124814</v>
      </c>
      <c r="E33" s="27">
        <v>89360</v>
      </c>
      <c r="F33" s="35">
        <v>53541</v>
      </c>
      <c r="G33" s="36">
        <v>351862</v>
      </c>
      <c r="H33" s="26">
        <f>I33+82538</f>
        <v>279627</v>
      </c>
      <c r="I33" s="26">
        <f>J33+93668</f>
        <v>197089</v>
      </c>
      <c r="J33" s="26">
        <v>103421</v>
      </c>
      <c r="K33" s="29">
        <f>99415+L33</f>
        <v>370119</v>
      </c>
      <c r="L33" s="27">
        <f>96794+M33</f>
        <v>270704</v>
      </c>
      <c r="M33" s="27">
        <f>86762+N33</f>
        <v>173910</v>
      </c>
      <c r="N33" s="27">
        <v>87148</v>
      </c>
      <c r="O33" s="5">
        <v>336769</v>
      </c>
      <c r="P33" s="5">
        <v>372969</v>
      </c>
    </row>
    <row r="34" spans="1:16" ht="11.25">
      <c r="A34" s="25" t="s">
        <v>27</v>
      </c>
      <c r="C34" s="26">
        <v>98427</v>
      </c>
      <c r="D34" s="26">
        <v>81487</v>
      </c>
      <c r="E34" s="27">
        <v>59840</v>
      </c>
      <c r="F34" s="35">
        <v>33158</v>
      </c>
      <c r="G34" s="36">
        <v>247758</v>
      </c>
      <c r="H34" s="26">
        <f>I34+57969</f>
        <v>201064</v>
      </c>
      <c r="I34" s="26">
        <f>J34+66325</f>
        <v>143095</v>
      </c>
      <c r="J34" s="26">
        <v>76770</v>
      </c>
      <c r="K34" s="29">
        <f>74792+L34</f>
        <v>272042</v>
      </c>
      <c r="L34" s="27">
        <f>71293+M34</f>
        <v>197250</v>
      </c>
      <c r="M34" s="27">
        <f>63352+N34</f>
        <v>125957</v>
      </c>
      <c r="N34" s="27">
        <v>62605</v>
      </c>
      <c r="O34" s="5">
        <v>239448</v>
      </c>
      <c r="P34" s="5">
        <v>282342</v>
      </c>
    </row>
    <row r="35" spans="1:16" ht="11.25">
      <c r="A35" s="25" t="s">
        <v>28</v>
      </c>
      <c r="C35" s="27">
        <f aca="true" t="shared" si="9" ref="C35:P35">C33-C34</f>
        <v>57174</v>
      </c>
      <c r="D35" s="27">
        <f t="shared" si="9"/>
        <v>43327</v>
      </c>
      <c r="E35" s="27">
        <f t="shared" si="9"/>
        <v>29520</v>
      </c>
      <c r="F35" s="28">
        <f t="shared" si="9"/>
        <v>20383</v>
      </c>
      <c r="G35" s="26">
        <f t="shared" si="9"/>
        <v>104104</v>
      </c>
      <c r="H35" s="26">
        <f t="shared" si="9"/>
        <v>78563</v>
      </c>
      <c r="I35" s="26">
        <f t="shared" si="9"/>
        <v>53994</v>
      </c>
      <c r="J35" s="26">
        <f t="shared" si="9"/>
        <v>26651</v>
      </c>
      <c r="K35" s="29">
        <f t="shared" si="9"/>
        <v>98077</v>
      </c>
      <c r="L35" s="27">
        <f t="shared" si="9"/>
        <v>73454</v>
      </c>
      <c r="M35" s="27">
        <f t="shared" si="9"/>
        <v>47953</v>
      </c>
      <c r="N35" s="27">
        <f t="shared" si="9"/>
        <v>24543</v>
      </c>
      <c r="O35" s="5">
        <f t="shared" si="9"/>
        <v>97321</v>
      </c>
      <c r="P35" s="5">
        <f t="shared" si="9"/>
        <v>90627</v>
      </c>
    </row>
    <row r="36" spans="1:16" ht="11.25">
      <c r="A36" s="25" t="s">
        <v>29</v>
      </c>
      <c r="C36" s="26">
        <v>14245</v>
      </c>
      <c r="D36" s="26">
        <v>8403</v>
      </c>
      <c r="E36" s="27">
        <v>796</v>
      </c>
      <c r="F36" s="35">
        <v>2732</v>
      </c>
      <c r="G36" s="36">
        <v>28907</v>
      </c>
      <c r="H36" s="26">
        <f>I36+1571</f>
        <v>19364</v>
      </c>
      <c r="I36" s="26">
        <f>J36+13314</f>
        <v>17793</v>
      </c>
      <c r="J36" s="26">
        <v>4479</v>
      </c>
      <c r="K36" s="29">
        <f>5630+L36</f>
        <v>25976</v>
      </c>
      <c r="L36" s="27">
        <f>6325+M36</f>
        <v>20346</v>
      </c>
      <c r="M36" s="27">
        <f>6491+N36</f>
        <v>14021</v>
      </c>
      <c r="N36" s="27">
        <v>7530</v>
      </c>
      <c r="O36" s="5">
        <v>26677</v>
      </c>
      <c r="P36" s="5">
        <v>21957</v>
      </c>
    </row>
    <row r="37" spans="1:16" ht="11.25">
      <c r="A37" s="25" t="s">
        <v>30</v>
      </c>
      <c r="C37" s="27">
        <f aca="true" t="shared" si="10" ref="C37:P37">C35+C36</f>
        <v>71419</v>
      </c>
      <c r="D37" s="27">
        <f t="shared" si="10"/>
        <v>51730</v>
      </c>
      <c r="E37" s="27">
        <f t="shared" si="10"/>
        <v>30316</v>
      </c>
      <c r="F37" s="28">
        <f t="shared" si="10"/>
        <v>23115</v>
      </c>
      <c r="G37" s="26">
        <f t="shared" si="10"/>
        <v>133011</v>
      </c>
      <c r="H37" s="26">
        <f t="shared" si="10"/>
        <v>97927</v>
      </c>
      <c r="I37" s="26">
        <f t="shared" si="10"/>
        <v>71787</v>
      </c>
      <c r="J37" s="26">
        <f t="shared" si="10"/>
        <v>31130</v>
      </c>
      <c r="K37" s="29">
        <f t="shared" si="10"/>
        <v>124053</v>
      </c>
      <c r="L37" s="27">
        <f t="shared" si="10"/>
        <v>93800</v>
      </c>
      <c r="M37" s="27">
        <f t="shared" si="10"/>
        <v>61974</v>
      </c>
      <c r="N37" s="27">
        <f t="shared" si="10"/>
        <v>32073</v>
      </c>
      <c r="O37" s="5">
        <f t="shared" si="10"/>
        <v>123998</v>
      </c>
      <c r="P37" s="5">
        <f t="shared" si="10"/>
        <v>112584</v>
      </c>
    </row>
    <row r="38" spans="1:16" ht="11.25">
      <c r="A38" s="25" t="s">
        <v>31</v>
      </c>
      <c r="C38" s="26">
        <v>72987</v>
      </c>
      <c r="D38" s="26">
        <v>68827</v>
      </c>
      <c r="E38" s="27">
        <v>61998</v>
      </c>
      <c r="F38" s="35">
        <v>4548</v>
      </c>
      <c r="G38" s="36">
        <v>25549</v>
      </c>
      <c r="H38" s="26">
        <f>I38+6200</f>
        <v>17095</v>
      </c>
      <c r="I38" s="26">
        <f>J38+5320</f>
        <v>10895</v>
      </c>
      <c r="J38" s="26">
        <v>5575</v>
      </c>
      <c r="K38" s="29">
        <f>6117+L38</f>
        <v>21056</v>
      </c>
      <c r="L38" s="27">
        <f>5157+M38</f>
        <v>14939</v>
      </c>
      <c r="M38" s="27">
        <f>4937+N38</f>
        <v>9782</v>
      </c>
      <c r="N38" s="27">
        <v>4845</v>
      </c>
      <c r="O38" s="5">
        <v>16527</v>
      </c>
      <c r="P38" s="5">
        <v>14067</v>
      </c>
    </row>
    <row r="39" spans="1:16" ht="11.25">
      <c r="A39" s="25" t="s">
        <v>32</v>
      </c>
      <c r="C39" s="27">
        <f aca="true" t="shared" si="11" ref="C39:P39">C37-C38</f>
        <v>-1568</v>
      </c>
      <c r="D39" s="27">
        <f t="shared" si="11"/>
        <v>-17097</v>
      </c>
      <c r="E39" s="27">
        <f t="shared" si="11"/>
        <v>-31682</v>
      </c>
      <c r="F39" s="28">
        <f t="shared" si="11"/>
        <v>18567</v>
      </c>
      <c r="G39" s="26">
        <f t="shared" si="11"/>
        <v>107462</v>
      </c>
      <c r="H39" s="26">
        <f t="shared" si="11"/>
        <v>80832</v>
      </c>
      <c r="I39" s="26">
        <f t="shared" si="11"/>
        <v>60892</v>
      </c>
      <c r="J39" s="26">
        <f t="shared" si="11"/>
        <v>25555</v>
      </c>
      <c r="K39" s="29">
        <f t="shared" si="11"/>
        <v>102997</v>
      </c>
      <c r="L39" s="27">
        <f t="shared" si="11"/>
        <v>78861</v>
      </c>
      <c r="M39" s="27">
        <f t="shared" si="11"/>
        <v>52192</v>
      </c>
      <c r="N39" s="27">
        <f t="shared" si="11"/>
        <v>27228</v>
      </c>
      <c r="O39" s="5">
        <f t="shared" si="11"/>
        <v>107471</v>
      </c>
      <c r="P39" s="5">
        <f t="shared" si="11"/>
        <v>98517</v>
      </c>
    </row>
    <row r="40" spans="1:16" ht="11.25">
      <c r="A40" s="11" t="s">
        <v>33</v>
      </c>
      <c r="B40" s="11"/>
      <c r="C40" s="30">
        <v>-282401</v>
      </c>
      <c r="D40" s="30">
        <v>-288868</v>
      </c>
      <c r="E40" s="30">
        <v>-303454</v>
      </c>
      <c r="F40" s="37">
        <v>-1434</v>
      </c>
      <c r="G40" s="38">
        <v>91462</v>
      </c>
      <c r="H40" s="30">
        <f>I40+15939</f>
        <v>69332</v>
      </c>
      <c r="I40" s="30">
        <f>J40+31587</f>
        <v>53393</v>
      </c>
      <c r="J40" s="30">
        <v>21806</v>
      </c>
      <c r="K40" s="32">
        <f>19336+L40</f>
        <v>83797</v>
      </c>
      <c r="L40" s="30">
        <f>21869+M40</f>
        <v>64461</v>
      </c>
      <c r="M40" s="30">
        <f>21764+N40</f>
        <v>42592</v>
      </c>
      <c r="N40" s="30">
        <v>20828</v>
      </c>
      <c r="O40" s="6">
        <v>86771</v>
      </c>
      <c r="P40" s="6">
        <v>71783</v>
      </c>
    </row>
    <row r="41" spans="1:16" ht="11.25">
      <c r="A41" s="19" t="s">
        <v>34</v>
      </c>
      <c r="E41" s="27"/>
      <c r="F41" s="33"/>
      <c r="H41" s="26"/>
      <c r="I41" s="26"/>
      <c r="K41" s="29"/>
      <c r="L41" s="27"/>
      <c r="M41" s="27"/>
      <c r="N41" s="27"/>
      <c r="O41" s="5"/>
      <c r="P41" s="5"/>
    </row>
    <row r="42" spans="1:16" ht="11.25">
      <c r="A42" s="25" t="s">
        <v>35</v>
      </c>
      <c r="C42" s="26">
        <v>90314</v>
      </c>
      <c r="D42" s="26">
        <v>118380</v>
      </c>
      <c r="E42" s="27">
        <v>50967</v>
      </c>
      <c r="F42" s="28">
        <v>967</v>
      </c>
      <c r="G42" s="26">
        <v>1003</v>
      </c>
      <c r="H42" s="26">
        <v>13907</v>
      </c>
      <c r="I42" s="26">
        <v>13920</v>
      </c>
      <c r="J42" s="26">
        <v>19543</v>
      </c>
      <c r="K42" s="29">
        <v>13915</v>
      </c>
      <c r="L42" s="27">
        <v>29727</v>
      </c>
      <c r="M42" s="27">
        <v>30456</v>
      </c>
      <c r="N42" s="27">
        <v>28077</v>
      </c>
      <c r="O42" s="5">
        <v>23786</v>
      </c>
      <c r="P42" s="5">
        <v>6493</v>
      </c>
    </row>
    <row r="43" spans="1:16" ht="11.25">
      <c r="A43" s="25" t="s">
        <v>36</v>
      </c>
      <c r="C43" s="26">
        <v>423267</v>
      </c>
      <c r="D43" s="26">
        <v>434973</v>
      </c>
      <c r="E43" s="27">
        <v>434682</v>
      </c>
      <c r="F43" s="28">
        <v>182784</v>
      </c>
      <c r="G43" s="26">
        <v>116339</v>
      </c>
      <c r="H43" s="26">
        <v>122028</v>
      </c>
      <c r="I43" s="26">
        <v>118028</v>
      </c>
      <c r="J43" s="26">
        <v>114248</v>
      </c>
      <c r="K43" s="29">
        <v>110388</v>
      </c>
      <c r="L43" s="27">
        <v>121005</v>
      </c>
      <c r="M43" s="27">
        <v>117670</v>
      </c>
      <c r="N43" s="27">
        <v>117670</v>
      </c>
      <c r="O43" s="5">
        <v>114617</v>
      </c>
      <c r="P43" s="5">
        <v>104553</v>
      </c>
    </row>
    <row r="44" spans="1:16" ht="11.25">
      <c r="A44" s="25" t="s">
        <v>37</v>
      </c>
      <c r="C44" s="39">
        <f aca="true" t="shared" si="12" ref="C44:P44">C42/C12</f>
        <v>0.03961534766838628</v>
      </c>
      <c r="D44" s="39">
        <f t="shared" si="12"/>
        <v>0.04513414425845493</v>
      </c>
      <c r="E44" s="39">
        <f t="shared" si="12"/>
        <v>0.016696390196345643</v>
      </c>
      <c r="F44" s="40">
        <f t="shared" si="12"/>
        <v>0.0002725794899014514</v>
      </c>
      <c r="G44" s="41">
        <f t="shared" si="12"/>
        <v>0.00021749722924142907</v>
      </c>
      <c r="H44" s="41">
        <f t="shared" si="12"/>
        <v>0.002897592895594771</v>
      </c>
      <c r="I44" s="41">
        <f t="shared" si="12"/>
        <v>0.003042844429988019</v>
      </c>
      <c r="J44" s="41">
        <f t="shared" si="12"/>
        <v>0.00404198050633236</v>
      </c>
      <c r="K44" s="42">
        <f t="shared" si="12"/>
        <v>0.0030979244685272913</v>
      </c>
      <c r="L44" s="39">
        <f t="shared" si="12"/>
        <v>0.0065502140106757445</v>
      </c>
      <c r="M44" s="39">
        <f t="shared" si="12"/>
        <v>0.007482974978863839</v>
      </c>
      <c r="N44" s="39">
        <f t="shared" si="12"/>
        <v>0.007245862539455847</v>
      </c>
      <c r="O44" s="7">
        <f t="shared" si="12"/>
        <v>0.005628606173387857</v>
      </c>
      <c r="P44" s="7">
        <f t="shared" si="12"/>
        <v>0.001472584036853383</v>
      </c>
    </row>
    <row r="45" spans="1:16" ht="11.25">
      <c r="A45" s="25" t="s">
        <v>38</v>
      </c>
      <c r="C45" s="39">
        <f aca="true" t="shared" si="13" ref="C45:P45">C43/C42</f>
        <v>4.686615585623492</v>
      </c>
      <c r="D45" s="39">
        <f t="shared" si="13"/>
        <v>3.6743791180942726</v>
      </c>
      <c r="E45" s="39">
        <f t="shared" si="13"/>
        <v>8.528695037965743</v>
      </c>
      <c r="F45" s="40">
        <f t="shared" si="13"/>
        <v>189.02171664943123</v>
      </c>
      <c r="G45" s="41">
        <f t="shared" si="13"/>
        <v>115.99102691924227</v>
      </c>
      <c r="H45" s="41">
        <f t="shared" si="13"/>
        <v>8.774573955561948</v>
      </c>
      <c r="I45" s="41">
        <f t="shared" si="13"/>
        <v>8.479022988505747</v>
      </c>
      <c r="J45" s="41">
        <f t="shared" si="13"/>
        <v>5.845980658036125</v>
      </c>
      <c r="K45" s="42">
        <f t="shared" si="13"/>
        <v>7.93302191879267</v>
      </c>
      <c r="L45" s="39">
        <f t="shared" si="13"/>
        <v>4.070541931577354</v>
      </c>
      <c r="M45" s="39">
        <f t="shared" si="13"/>
        <v>3.8636065143157343</v>
      </c>
      <c r="N45" s="39">
        <f t="shared" si="13"/>
        <v>4.190974819247071</v>
      </c>
      <c r="O45" s="7">
        <f t="shared" si="13"/>
        <v>4.818674850752544</v>
      </c>
      <c r="P45" s="7">
        <f t="shared" si="13"/>
        <v>16.10241798860311</v>
      </c>
    </row>
    <row r="46" spans="1:16" ht="11.25">
      <c r="A46" s="11" t="s">
        <v>39</v>
      </c>
      <c r="B46" s="11"/>
      <c r="C46" s="43">
        <f aca="true" t="shared" si="14" ref="C46:P46">C43/C12</f>
        <v>0.1856619058125524</v>
      </c>
      <c r="D46" s="43">
        <f t="shared" si="14"/>
        <v>0.1658399571763213</v>
      </c>
      <c r="E46" s="43">
        <f t="shared" si="14"/>
        <v>0.14239842021951296</v>
      </c>
      <c r="F46" s="44">
        <f t="shared" si="14"/>
        <v>0.051523443104598644</v>
      </c>
      <c r="G46" s="43">
        <f t="shared" si="14"/>
        <v>0.02522772697180321</v>
      </c>
      <c r="H46" s="43">
        <f t="shared" si="14"/>
        <v>0.02542514315550721</v>
      </c>
      <c r="I46" s="43">
        <f t="shared" si="14"/>
        <v>0.02580034787231508</v>
      </c>
      <c r="J46" s="43">
        <f t="shared" si="14"/>
        <v>0.023629339860178043</v>
      </c>
      <c r="K46" s="45">
        <f t="shared" si="14"/>
        <v>0.024575902711591137</v>
      </c>
      <c r="L46" s="43">
        <f t="shared" si="14"/>
        <v>0.026662920791261095</v>
      </c>
      <c r="M46" s="43">
        <f t="shared" si="14"/>
        <v>0.02891127087479997</v>
      </c>
      <c r="N46" s="43">
        <f t="shared" si="14"/>
        <v>0.03036722744658509</v>
      </c>
      <c r="O46" s="8">
        <f t="shared" si="14"/>
        <v>0.027122423012494578</v>
      </c>
      <c r="P46" s="8">
        <f t="shared" si="14"/>
        <v>0.0237121636847577</v>
      </c>
    </row>
    <row r="47" spans="1:14" ht="11.25">
      <c r="A47" s="19" t="s">
        <v>40</v>
      </c>
      <c r="E47" s="12"/>
      <c r="F47" s="33"/>
      <c r="K47" s="34"/>
      <c r="L47" s="12"/>
      <c r="M47" s="12"/>
      <c r="N47" s="12"/>
    </row>
    <row r="48" spans="1:16" ht="11.25">
      <c r="A48" s="25" t="s">
        <v>41</v>
      </c>
      <c r="C48" s="39">
        <f aca="true" t="shared" si="15" ref="C48:P48">C25/(C12+C15)</f>
        <v>0.08551332150832759</v>
      </c>
      <c r="D48" s="39">
        <f t="shared" si="15"/>
        <v>0.06684234759482015</v>
      </c>
      <c r="E48" s="39">
        <f t="shared" si="15"/>
        <v>0.0573848510386856</v>
      </c>
      <c r="F48" s="40">
        <f t="shared" si="15"/>
        <v>0.12327376608979372</v>
      </c>
      <c r="G48" s="41">
        <f t="shared" si="15"/>
        <v>0.11731115597515936</v>
      </c>
      <c r="H48" s="41">
        <f t="shared" si="15"/>
        <v>0.11297465773990824</v>
      </c>
      <c r="I48" s="41">
        <f t="shared" si="15"/>
        <v>0.11953877458379246</v>
      </c>
      <c r="J48" s="41">
        <f t="shared" si="15"/>
        <v>0.11380851986310546</v>
      </c>
      <c r="K48" s="42">
        <f t="shared" si="15"/>
        <v>0.1238281800541831</v>
      </c>
      <c r="L48" s="39">
        <f t="shared" si="15"/>
        <v>0.12439509407420068</v>
      </c>
      <c r="M48" s="39">
        <f t="shared" si="15"/>
        <v>0.13638449652568954</v>
      </c>
      <c r="N48" s="39">
        <f t="shared" si="15"/>
        <v>0.14543380816061066</v>
      </c>
      <c r="O48" s="7">
        <f t="shared" si="15"/>
        <v>0.13630593559010978</v>
      </c>
      <c r="P48" s="7">
        <f t="shared" si="15"/>
        <v>0.11845930990601955</v>
      </c>
    </row>
    <row r="49" spans="1:16" ht="11.25">
      <c r="A49" s="11" t="s">
        <v>42</v>
      </c>
      <c r="B49" s="11"/>
      <c r="C49" s="43">
        <f>C25/C10</f>
        <v>0.0720858915505249</v>
      </c>
      <c r="D49" s="43">
        <f>D25/D10</f>
        <v>0.056892188101824295</v>
      </c>
      <c r="E49" s="43">
        <f>E25/E10</f>
        <v>0.04878766716535103</v>
      </c>
      <c r="F49" s="44">
        <f>F25/F12</f>
        <v>0.1434343155309141</v>
      </c>
      <c r="G49" s="43">
        <f>G25/G12</f>
        <v>0.12825852809238017</v>
      </c>
      <c r="H49" s="43">
        <f aca="true" t="shared" si="16" ref="H49:P49">H25/H10</f>
        <v>0.09898806166612172</v>
      </c>
      <c r="I49" s="43">
        <f t="shared" si="16"/>
        <v>0.10989503284981277</v>
      </c>
      <c r="J49" s="43">
        <f t="shared" si="16"/>
        <v>0.10543640795019762</v>
      </c>
      <c r="K49" s="45">
        <f t="shared" si="16"/>
        <v>0.11370492151059265</v>
      </c>
      <c r="L49" s="43">
        <f t="shared" si="16"/>
        <v>0.11497477245925491</v>
      </c>
      <c r="M49" s="43">
        <f t="shared" si="16"/>
        <v>0.1263882651655865</v>
      </c>
      <c r="N49" s="43">
        <f t="shared" si="16"/>
        <v>0.1307517249090682</v>
      </c>
      <c r="O49" s="8">
        <f t="shared" si="16"/>
        <v>0.1219361825403358</v>
      </c>
      <c r="P49" s="8">
        <f t="shared" si="16"/>
        <v>0.1094683307599208</v>
      </c>
    </row>
    <row r="50" spans="1:16" ht="11.25">
      <c r="A50" s="19" t="s">
        <v>43</v>
      </c>
      <c r="E50" s="12"/>
      <c r="F50" s="33"/>
      <c r="J50" s="46"/>
      <c r="K50" s="47"/>
      <c r="L50" s="48"/>
      <c r="M50" s="48"/>
      <c r="N50" s="48"/>
      <c r="O50" s="9"/>
      <c r="P50" s="9"/>
    </row>
    <row r="51" spans="1:16" ht="11.25">
      <c r="A51" s="25" t="s">
        <v>44</v>
      </c>
      <c r="C51" s="48">
        <f aca="true" t="shared" si="17" ref="C51:P51">C11/C16</f>
        <v>0.9064358628515685</v>
      </c>
      <c r="D51" s="48">
        <f t="shared" si="17"/>
        <v>0.9863457433172249</v>
      </c>
      <c r="E51" s="48">
        <f t="shared" si="17"/>
        <v>0.911062200271992</v>
      </c>
      <c r="F51" s="49">
        <f t="shared" si="17"/>
        <v>0.8381386392123673</v>
      </c>
      <c r="G51" s="46">
        <f t="shared" si="17"/>
        <v>0.4253012469692775</v>
      </c>
      <c r="H51" s="46">
        <f t="shared" si="17"/>
        <v>0.3907775698591147</v>
      </c>
      <c r="I51" s="46">
        <f t="shared" si="17"/>
        <v>0.19308606837685427</v>
      </c>
      <c r="J51" s="46">
        <f t="shared" si="17"/>
        <v>0.16082560970083282</v>
      </c>
      <c r="K51" s="47">
        <f t="shared" si="17"/>
        <v>0.20676764744579054</v>
      </c>
      <c r="L51" s="48">
        <f t="shared" si="17"/>
        <v>0.15306101425593202</v>
      </c>
      <c r="M51" s="48">
        <f t="shared" si="17"/>
        <v>0.15420584058612055</v>
      </c>
      <c r="N51" s="48">
        <f t="shared" si="17"/>
        <v>0.229920723071408</v>
      </c>
      <c r="O51" s="9">
        <f t="shared" si="17"/>
        <v>0.28005833737024605</v>
      </c>
      <c r="P51" s="9">
        <f t="shared" si="17"/>
        <v>0.2730040256627656</v>
      </c>
    </row>
    <row r="52" spans="1:16" ht="11.25">
      <c r="A52" s="25" t="s">
        <v>45</v>
      </c>
      <c r="C52" s="48">
        <f aca="true" t="shared" si="18" ref="C52:P52">C11/C10</f>
        <v>0.11755449067165143</v>
      </c>
      <c r="D52" s="48">
        <f t="shared" si="18"/>
        <v>0.1153205644455338</v>
      </c>
      <c r="E52" s="48">
        <f t="shared" si="18"/>
        <v>0.12488891211013149</v>
      </c>
      <c r="F52" s="49">
        <f t="shared" si="18"/>
        <v>0.12875641107666178</v>
      </c>
      <c r="G52" s="46">
        <f t="shared" si="18"/>
        <v>0.09689928860987386</v>
      </c>
      <c r="H52" s="46">
        <f t="shared" si="18"/>
        <v>0.09850877996666378</v>
      </c>
      <c r="I52" s="46">
        <f t="shared" si="18"/>
        <v>0.04983616624822078</v>
      </c>
      <c r="J52" s="46">
        <f t="shared" si="18"/>
        <v>0.04150710073487902</v>
      </c>
      <c r="K52" s="47">
        <f t="shared" si="18"/>
        <v>0.0554687486869255</v>
      </c>
      <c r="L52" s="48">
        <f t="shared" si="18"/>
        <v>0.04541568656144159</v>
      </c>
      <c r="M52" s="48">
        <f t="shared" si="18"/>
        <v>0.04969684368023305</v>
      </c>
      <c r="N52" s="48">
        <f t="shared" si="18"/>
        <v>0.06862189247792752</v>
      </c>
      <c r="O52" s="9">
        <f t="shared" si="18"/>
        <v>0.0768589082504991</v>
      </c>
      <c r="P52" s="9">
        <f t="shared" si="18"/>
        <v>0.05748278685216122</v>
      </c>
    </row>
    <row r="53" spans="1:16" ht="11.25">
      <c r="A53" s="11" t="s">
        <v>46</v>
      </c>
      <c r="B53" s="11"/>
      <c r="C53" s="50">
        <f aca="true" t="shared" si="19" ref="C53:P53">(C11+C15)/C16</f>
        <v>1.733143872467288</v>
      </c>
      <c r="D53" s="50">
        <f t="shared" si="19"/>
        <v>1.9821193687272238</v>
      </c>
      <c r="E53" s="50">
        <f t="shared" si="19"/>
        <v>1.6507927134779186</v>
      </c>
      <c r="F53" s="51">
        <f t="shared" si="19"/>
        <v>1.615088972927804</v>
      </c>
      <c r="G53" s="50">
        <f t="shared" si="19"/>
        <v>0.7525934162212481</v>
      </c>
      <c r="H53" s="50">
        <f t="shared" si="19"/>
        <v>0.6658953076922051</v>
      </c>
      <c r="I53" s="50">
        <f t="shared" si="19"/>
        <v>0.5193052118307504</v>
      </c>
      <c r="J53" s="50">
        <f t="shared" si="19"/>
        <v>0.48017242137316185</v>
      </c>
      <c r="K53" s="52">
        <f t="shared" si="19"/>
        <v>0.5028419552652225</v>
      </c>
      <c r="L53" s="50">
        <f t="shared" si="19"/>
        <v>0.34610006064984183</v>
      </c>
      <c r="M53" s="50">
        <f t="shared" si="19"/>
        <v>0.32256650559215666</v>
      </c>
      <c r="N53" s="50">
        <f t="shared" si="19"/>
        <v>0.39575289575289574</v>
      </c>
      <c r="O53" s="10">
        <f t="shared" si="19"/>
        <v>0.4332571526864521</v>
      </c>
      <c r="P53" s="10">
        <f t="shared" si="19"/>
        <v>0.4566452047308452</v>
      </c>
    </row>
    <row r="54" spans="1:14" ht="11.25">
      <c r="A54" s="19" t="s">
        <v>47</v>
      </c>
      <c r="E54" s="12"/>
      <c r="F54" s="33"/>
      <c r="K54" s="34"/>
      <c r="L54" s="12"/>
      <c r="M54" s="12"/>
      <c r="N54" s="12"/>
    </row>
    <row r="55" spans="1:16" ht="11.25">
      <c r="A55" s="25" t="s">
        <v>48</v>
      </c>
      <c r="B55" s="12"/>
      <c r="C55" s="39">
        <f>(C40)/C28</f>
        <v>-0.07379291909277885</v>
      </c>
      <c r="D55" s="39">
        <f>(D40/0.75)/D28</f>
        <v>-0.09336572568218425</v>
      </c>
      <c r="E55" s="39">
        <f>(E40/0.5)/E28</f>
        <v>-0.14277070794894667</v>
      </c>
      <c r="F55" s="40">
        <f>((F40)/0.25)/F28</f>
        <v>-0.0012159081743433411</v>
      </c>
      <c r="G55" s="53">
        <f>G40/G28</f>
        <v>0.018367836705348868</v>
      </c>
      <c r="H55" s="53">
        <f>(H40/0.75)/H28</f>
        <v>0.018396195469792258</v>
      </c>
      <c r="I55" s="41">
        <f>(I40/0.5)/I28</f>
        <v>0.02281983992176983</v>
      </c>
      <c r="J55" s="41">
        <f>((J40)/0.25)/J28</f>
        <v>0.018542911201343566</v>
      </c>
      <c r="K55" s="54">
        <f>K40/K28</f>
        <v>0.017921904323974613</v>
      </c>
      <c r="L55" s="53">
        <f>(L40/0.75)/L28</f>
        <v>0.01866441342105703</v>
      </c>
      <c r="M55" s="53">
        <f>(M40/0.5)/M28</f>
        <v>0.018828975809726197</v>
      </c>
      <c r="N55" s="39">
        <f>((N40)/0.25)/N28</f>
        <v>0.01913410108286169</v>
      </c>
      <c r="O55" s="7">
        <f>O40/O28</f>
        <v>0.019205352027478143</v>
      </c>
      <c r="P55" s="7">
        <f>P40/P28</f>
        <v>0.015829095254402712</v>
      </c>
    </row>
    <row r="56" spans="1:16" ht="11.25">
      <c r="A56" s="25" t="s">
        <v>49</v>
      </c>
      <c r="B56" s="12"/>
      <c r="C56" s="39">
        <f>(C40)/C27</f>
        <v>-0.06367835688774034</v>
      </c>
      <c r="D56" s="39">
        <f>(D40/0.75)/D27</f>
        <v>-0.08092934777279559</v>
      </c>
      <c r="E56" s="39">
        <f>(E40/0.5)/E27</f>
        <v>-0.12704081077301924</v>
      </c>
      <c r="F56" s="40">
        <f>((F40)/0.25)/F27</f>
        <v>-0.0010833388025952159</v>
      </c>
      <c r="G56" s="53">
        <f>G40/G27</f>
        <v>0.016441285527257404</v>
      </c>
      <c r="H56" s="53">
        <f>(H40/0.75)/H27</f>
        <v>0.01653265125297154</v>
      </c>
      <c r="I56" s="41">
        <f>(I40/0.5)/I27</f>
        <v>0.02105631785169006</v>
      </c>
      <c r="J56" s="41">
        <f>((J40)/0.25)/J27</f>
        <v>0.016953698815666815</v>
      </c>
      <c r="K56" s="54">
        <f>K40/K27</f>
        <v>0.016252820707222785</v>
      </c>
      <c r="L56" s="53">
        <f>(L40/0.75)/L27</f>
        <v>0.017158119997241063</v>
      </c>
      <c r="M56" s="53">
        <f>(M40/0.5)/M27</f>
        <v>0.017424013860011026</v>
      </c>
      <c r="N56" s="39">
        <f>((N40)/0.25)/N27</f>
        <v>0.017468549084270358</v>
      </c>
      <c r="O56" s="7">
        <f>O40/O27</f>
        <v>0.017464827456558075</v>
      </c>
      <c r="P56" s="7">
        <f>P40/P27</f>
        <v>0.014570338117988014</v>
      </c>
    </row>
    <row r="57" spans="1:16" ht="11.25">
      <c r="A57" s="25" t="s">
        <v>50</v>
      </c>
      <c r="B57" s="12"/>
      <c r="C57" s="39">
        <f>(C40)/C31</f>
        <v>-0.6931531730545022</v>
      </c>
      <c r="D57" s="39">
        <f>(D40/0.75)/D31</f>
        <v>-0.972709184895409</v>
      </c>
      <c r="E57" s="39">
        <f>(E40/0.5)/E31</f>
        <v>-1.5156066217326485</v>
      </c>
      <c r="F57" s="40">
        <f>((F40)/0.25)/F31</f>
        <v>-0.010308713252968742</v>
      </c>
      <c r="G57" s="53">
        <f>+G40/G31</f>
        <v>0.15239374242921577</v>
      </c>
      <c r="H57" s="53">
        <f>(H40/0.75)/H31</f>
        <v>0.15527827026385402</v>
      </c>
      <c r="I57" s="41">
        <f>(I40/0.5)/I31</f>
        <v>0.17923188731751366</v>
      </c>
      <c r="J57" s="41">
        <f>((J40)/0.25)/J31</f>
        <v>0.14532828156604785</v>
      </c>
      <c r="K57" s="54">
        <f>+K40/K31</f>
        <v>0.13813174250859853</v>
      </c>
      <c r="L57" s="53">
        <f>(L40/0.75)/L31</f>
        <v>0.1446880002962848</v>
      </c>
      <c r="M57" s="53">
        <f>(M40/0.5)/M31</f>
        <v>0.14784935971979712</v>
      </c>
      <c r="N57" s="39">
        <f>((N40)/0.25)/N31</f>
        <v>0.14628497581729127</v>
      </c>
      <c r="O57" s="7">
        <f>O40/O31</f>
        <v>0.15096502895478323</v>
      </c>
      <c r="P57" s="7">
        <f>P40/P31</f>
        <v>0.13587609254255414</v>
      </c>
    </row>
    <row r="58" spans="1:16" ht="11.25">
      <c r="A58" s="25" t="s">
        <v>51</v>
      </c>
      <c r="B58" s="12"/>
      <c r="C58" s="39">
        <f>(C33)/C28</f>
        <v>0.04065938861319713</v>
      </c>
      <c r="D58" s="39">
        <f>(D33/0.75)/D28</f>
        <v>0.040341435137488904</v>
      </c>
      <c r="E58" s="39">
        <f>(E33/0.5)/E28</f>
        <v>0.0420425845838838</v>
      </c>
      <c r="F58" s="40">
        <f>((F33)/0.25)/F28</f>
        <v>0.04539814474373559</v>
      </c>
      <c r="G58" s="53">
        <f>G33/G28</f>
        <v>0.07066261134479307</v>
      </c>
      <c r="H58" s="53">
        <f>(H33/0.75)/H28</f>
        <v>0.07419478668769976</v>
      </c>
      <c r="I58" s="41">
        <f>(I33/0.5)/I28</f>
        <v>0.08423462683014055</v>
      </c>
      <c r="J58" s="41">
        <f>((J33)/0.25)/J28</f>
        <v>0.08794489678777184</v>
      </c>
      <c r="K58" s="54">
        <f>K33/K28</f>
        <v>0.07915841028300727</v>
      </c>
      <c r="L58" s="53">
        <f>(L33/0.75)/L28</f>
        <v>0.07838121299287668</v>
      </c>
      <c r="M58" s="53">
        <f>(M33/0.5)/M28</f>
        <v>0.07688174265283347</v>
      </c>
      <c r="N58" s="39">
        <f>((N33)/0.25)/N28</f>
        <v>0.08006043024626612</v>
      </c>
      <c r="O58" s="7">
        <f>O33/O28</f>
        <v>0.07453835033527086</v>
      </c>
      <c r="P58" s="7">
        <f>P33/P27</f>
        <v>0.07570433720418304</v>
      </c>
    </row>
    <row r="59" spans="1:16" ht="11.25">
      <c r="A59" s="25" t="s">
        <v>52</v>
      </c>
      <c r="B59" s="12"/>
      <c r="C59" s="39">
        <f>(C34)/C28</f>
        <v>0.02571951107660718</v>
      </c>
      <c r="D59" s="39">
        <f>(D34/0.75)/D28</f>
        <v>0.02633761056490905</v>
      </c>
      <c r="E59" s="39">
        <f>(E34/0.5)/E28</f>
        <v>0.028153852523496045</v>
      </c>
      <c r="F59" s="40">
        <f>((F34)/0.25)/F28</f>
        <v>0.028115120812326713</v>
      </c>
      <c r="G59" s="53">
        <f>G34/G28</f>
        <v>0.04975594767710989</v>
      </c>
      <c r="H59" s="53">
        <f>(H34/0.75)/H28</f>
        <v>0.05334928526421148</v>
      </c>
      <c r="I59" s="41">
        <f>(I34/0.5)/I28</f>
        <v>0.06115792320352207</v>
      </c>
      <c r="J59" s="41">
        <f>((J34)/0.25)/J28</f>
        <v>0.06528200004251791</v>
      </c>
      <c r="K59" s="54">
        <f>K34/K28</f>
        <v>0.0581824014714453</v>
      </c>
      <c r="L59" s="53">
        <f>(L34/0.75)/L28</f>
        <v>0.057112913968190064</v>
      </c>
      <c r="M59" s="53">
        <f>(M34/0.5)/M28</f>
        <v>0.05568278798989675</v>
      </c>
      <c r="N59" s="39">
        <f>((N34)/0.25)/N28</f>
        <v>0.057513462564459196</v>
      </c>
      <c r="O59" s="7">
        <f>O34/O28</f>
        <v>0.052997927098634184</v>
      </c>
      <c r="P59" s="7">
        <f>P34/P27</f>
        <v>0.057309089964322636</v>
      </c>
    </row>
    <row r="60" spans="1:16" ht="11.25">
      <c r="A60" s="25" t="s">
        <v>53</v>
      </c>
      <c r="B60" s="12"/>
      <c r="C60" s="39">
        <f>(C35)/C28</f>
        <v>0.014939877536589949</v>
      </c>
      <c r="D60" s="39">
        <f>(D35/0.75)/D28</f>
        <v>0.014003824572579855</v>
      </c>
      <c r="E60" s="39">
        <f>(E35/0.5)/E28</f>
        <v>0.013888732060387755</v>
      </c>
      <c r="F60" s="40">
        <f>((F35)/0.25)/F28</f>
        <v>0.01728302393140887</v>
      </c>
      <c r="G60" s="53">
        <f>G35/G28</f>
        <v>0.020906663667683175</v>
      </c>
      <c r="H60" s="53">
        <f>(H35/0.75)/H28</f>
        <v>0.020845501423488278</v>
      </c>
      <c r="I60" s="41">
        <f>(I35/0.5)/I28</f>
        <v>0.023076703626618473</v>
      </c>
      <c r="J60" s="41">
        <f>((J35)/0.25)/J28</f>
        <v>0.022662896745253937</v>
      </c>
      <c r="K60" s="54">
        <f>K35/K28</f>
        <v>0.020976008811561968</v>
      </c>
      <c r="L60" s="53">
        <f>(L35/0.75)/L28</f>
        <v>0.021268299024686604</v>
      </c>
      <c r="M60" s="53">
        <f>(M35/0.5)/M28</f>
        <v>0.021198954662936708</v>
      </c>
      <c r="N60" s="39">
        <f>((N35)/0.25)/N28</f>
        <v>0.022546967681806918</v>
      </c>
      <c r="O60" s="7">
        <f>O35/O28</f>
        <v>0.021540423236636668</v>
      </c>
      <c r="P60" s="7">
        <f>P35/P27</f>
        <v>0.01839524723986041</v>
      </c>
    </row>
    <row r="61" spans="1:16" ht="11.25">
      <c r="A61" s="25" t="s">
        <v>54</v>
      </c>
      <c r="B61" s="12"/>
      <c r="C61" s="39">
        <f>(C38)/(C37)</f>
        <v>1.021954941962223</v>
      </c>
      <c r="D61" s="39">
        <f>(D38/0.75)/(D37/0.75)</f>
        <v>1.3305045428184805</v>
      </c>
      <c r="E61" s="39">
        <f>(E38/0.5)/(E37/0.5)</f>
        <v>2.0450587148700357</v>
      </c>
      <c r="F61" s="40">
        <f>(F38/0.25)/(F37/0.25)</f>
        <v>0.19675535366645036</v>
      </c>
      <c r="G61" s="53">
        <f>G38/G37</f>
        <v>0.19208185789145257</v>
      </c>
      <c r="H61" s="53">
        <f>(H38/0.75)/(H37/0.75)</f>
        <v>0.17456881146159894</v>
      </c>
      <c r="I61" s="41">
        <f>(I38/0.5)/(I37/0.5)</f>
        <v>0.1517684260381406</v>
      </c>
      <c r="J61" s="41">
        <f>(J38/0.25)/(J37/0.25)</f>
        <v>0.1790876967555413</v>
      </c>
      <c r="K61" s="54">
        <f>K38/K37</f>
        <v>0.16973390405713687</v>
      </c>
      <c r="L61" s="53">
        <f>(L38/0.75)/(L37/0.75)</f>
        <v>0.1592643923240938</v>
      </c>
      <c r="M61" s="53">
        <f>(M38/0.5)/(M37/0.5)</f>
        <v>0.15784038467744538</v>
      </c>
      <c r="N61" s="39">
        <f>(N38/0.25)/(N37/0.25)</f>
        <v>0.15106164063230754</v>
      </c>
      <c r="O61" s="7">
        <f>O38/O37</f>
        <v>0.13328440781302925</v>
      </c>
      <c r="P61" s="7">
        <f>P38/P37</f>
        <v>0.12494670645917715</v>
      </c>
    </row>
    <row r="62" spans="1:16" ht="11.25">
      <c r="A62" s="11" t="s">
        <v>55</v>
      </c>
      <c r="B62" s="11"/>
      <c r="C62" s="43">
        <f>(C36)/C28</f>
        <v>0.0037222960700444923</v>
      </c>
      <c r="D62" s="43">
        <f>(D36/0.75)/D28</f>
        <v>0.0027159539751976484</v>
      </c>
      <c r="E62" s="43">
        <f>(E36/0.5)/E28</f>
        <v>0.0003745064607069327</v>
      </c>
      <c r="F62" s="44">
        <f>(F36/0.25)/F28</f>
        <v>0.002316500092263604</v>
      </c>
      <c r="G62" s="55">
        <f>G36/G28</f>
        <v>0.0058052421294255505</v>
      </c>
      <c r="H62" s="55">
        <f>(H36/0.75)/H28</f>
        <v>0.005137943937533279</v>
      </c>
      <c r="I62" s="43">
        <f>(I36/0.5)/I28</f>
        <v>0.007604618802615522</v>
      </c>
      <c r="J62" s="43">
        <f>(J36/0.25)/J28</f>
        <v>0.0038087544378069263</v>
      </c>
      <c r="K62" s="56">
        <f>K36/K28</f>
        <v>0.005555561496468424</v>
      </c>
      <c r="L62" s="55">
        <f>(L36/0.75)/L28</f>
        <v>0.00589109935410289</v>
      </c>
      <c r="M62" s="55">
        <f>(M36/0.5)/M28</f>
        <v>0.006198372225492369</v>
      </c>
      <c r="N62" s="43">
        <f>(N36/0.25)/N28</f>
        <v>0.006917600401092209</v>
      </c>
      <c r="O62" s="8">
        <f>O36/O28</f>
        <v>0.005904520819594501</v>
      </c>
      <c r="P62" s="8">
        <f>P36/P27</f>
        <v>0.004456778263052015</v>
      </c>
    </row>
    <row r="63" spans="1:14" ht="11.25">
      <c r="A63" s="19" t="s">
        <v>56</v>
      </c>
      <c r="E63" s="12"/>
      <c r="F63" s="33"/>
      <c r="K63" s="34"/>
      <c r="L63" s="12"/>
      <c r="M63" s="12"/>
      <c r="N63" s="12"/>
    </row>
    <row r="64" spans="1:16" ht="11.25">
      <c r="A64" s="25" t="s">
        <v>57</v>
      </c>
      <c r="C64" s="26">
        <v>158</v>
      </c>
      <c r="D64" s="26">
        <v>150</v>
      </c>
      <c r="E64" s="27">
        <v>156</v>
      </c>
      <c r="F64" s="28">
        <v>202</v>
      </c>
      <c r="G64" s="26">
        <v>195</v>
      </c>
      <c r="H64" s="26">
        <v>205</v>
      </c>
      <c r="I64" s="26">
        <v>193</v>
      </c>
      <c r="J64" s="26">
        <v>190</v>
      </c>
      <c r="K64" s="29">
        <v>190</v>
      </c>
      <c r="L64" s="27">
        <v>198</v>
      </c>
      <c r="M64" s="27">
        <v>186</v>
      </c>
      <c r="N64" s="27">
        <v>187</v>
      </c>
      <c r="O64" s="5">
        <v>180</v>
      </c>
      <c r="P64" s="5">
        <v>160</v>
      </c>
    </row>
    <row r="65" spans="1:16" ht="11.25">
      <c r="A65" s="25" t="s">
        <v>58</v>
      </c>
      <c r="C65" s="26">
        <v>1</v>
      </c>
      <c r="D65" s="26">
        <v>1</v>
      </c>
      <c r="E65" s="27">
        <v>1</v>
      </c>
      <c r="F65" s="28">
        <v>1</v>
      </c>
      <c r="G65" s="26">
        <v>1</v>
      </c>
      <c r="H65" s="26">
        <v>1</v>
      </c>
      <c r="I65" s="26">
        <v>1</v>
      </c>
      <c r="J65" s="26">
        <v>1</v>
      </c>
      <c r="K65" s="29">
        <v>1</v>
      </c>
      <c r="L65" s="27">
        <v>1</v>
      </c>
      <c r="M65" s="27">
        <v>1</v>
      </c>
      <c r="N65" s="27">
        <v>1</v>
      </c>
      <c r="O65" s="5">
        <v>1</v>
      </c>
      <c r="P65" s="5">
        <v>1</v>
      </c>
    </row>
    <row r="66" spans="1:16" ht="11.25">
      <c r="A66" s="25" t="s">
        <v>59</v>
      </c>
      <c r="C66" s="27">
        <f aca="true" t="shared" si="20" ref="C66:P66">C12/C64</f>
        <v>14428.943037974683</v>
      </c>
      <c r="D66" s="27">
        <f t="shared" si="20"/>
        <v>17485.653333333332</v>
      </c>
      <c r="E66" s="27">
        <f t="shared" si="20"/>
        <v>19567.79487179487</v>
      </c>
      <c r="F66" s="28">
        <f t="shared" si="20"/>
        <v>17562.321782178216</v>
      </c>
      <c r="G66" s="26">
        <f t="shared" si="20"/>
        <v>23648.989743589744</v>
      </c>
      <c r="H66" s="26">
        <f t="shared" si="20"/>
        <v>23412.2</v>
      </c>
      <c r="I66" s="26">
        <f t="shared" si="20"/>
        <v>23702.937823834196</v>
      </c>
      <c r="J66" s="26">
        <f t="shared" si="20"/>
        <v>25447.4</v>
      </c>
      <c r="K66" s="29">
        <f t="shared" si="20"/>
        <v>23640.615789473683</v>
      </c>
      <c r="L66" s="27">
        <f t="shared" si="20"/>
        <v>22920.833333333332</v>
      </c>
      <c r="M66" s="27">
        <f t="shared" si="20"/>
        <v>21881.93010752688</v>
      </c>
      <c r="N66" s="27">
        <f t="shared" si="20"/>
        <v>20721.395721925135</v>
      </c>
      <c r="O66" s="5">
        <f t="shared" si="20"/>
        <v>23477.294444444444</v>
      </c>
      <c r="P66" s="5">
        <f t="shared" si="20"/>
        <v>27557.85</v>
      </c>
    </row>
    <row r="67" spans="1:16" ht="11.25">
      <c r="A67" s="25" t="s">
        <v>60</v>
      </c>
      <c r="C67" s="27">
        <f aca="true" t="shared" si="21" ref="C67:P67">C16/C64</f>
        <v>2543.3037974683543</v>
      </c>
      <c r="D67" s="27">
        <f t="shared" si="21"/>
        <v>2782.5266666666666</v>
      </c>
      <c r="E67" s="27">
        <f t="shared" si="21"/>
        <v>3582.3076923076924</v>
      </c>
      <c r="F67" s="28">
        <f t="shared" si="21"/>
        <v>3696.7524752475247</v>
      </c>
      <c r="G67" s="26">
        <f t="shared" si="21"/>
        <v>6742.912820512821</v>
      </c>
      <c r="H67" s="26">
        <f t="shared" si="21"/>
        <v>7314.721951219512</v>
      </c>
      <c r="I67" s="26">
        <f t="shared" si="21"/>
        <v>7325.60103626943</v>
      </c>
      <c r="J67" s="26">
        <f t="shared" si="21"/>
        <v>7781.426315789474</v>
      </c>
      <c r="K67" s="29">
        <f t="shared" si="21"/>
        <v>7560.5842105263155</v>
      </c>
      <c r="L67" s="27">
        <f t="shared" si="21"/>
        <v>7844.333333333333</v>
      </c>
      <c r="M67" s="27">
        <f t="shared" si="21"/>
        <v>8083.037634408603</v>
      </c>
      <c r="N67" s="27">
        <f t="shared" si="21"/>
        <v>7279.700534759359</v>
      </c>
      <c r="O67" s="5">
        <f t="shared" si="21"/>
        <v>7557.572222222222</v>
      </c>
      <c r="P67" s="5">
        <f t="shared" si="21"/>
        <v>6553.26875</v>
      </c>
    </row>
    <row r="68" spans="1:16" ht="11.25">
      <c r="A68" s="11" t="s">
        <v>61</v>
      </c>
      <c r="B68" s="11"/>
      <c r="C68" s="30">
        <f aca="true" t="shared" si="22" ref="C68:P68">(C40/C64)</f>
        <v>-1787.3481012658228</v>
      </c>
      <c r="D68" s="30">
        <f t="shared" si="22"/>
        <v>-1925.7866666666666</v>
      </c>
      <c r="E68" s="30">
        <f t="shared" si="22"/>
        <v>-1945.2179487179487</v>
      </c>
      <c r="F68" s="31">
        <f t="shared" si="22"/>
        <v>-7.099009900990099</v>
      </c>
      <c r="G68" s="30">
        <f t="shared" si="22"/>
        <v>469.0358974358974</v>
      </c>
      <c r="H68" s="30">
        <f t="shared" si="22"/>
        <v>338.2048780487805</v>
      </c>
      <c r="I68" s="30">
        <f t="shared" si="22"/>
        <v>276.6476683937824</v>
      </c>
      <c r="J68" s="30">
        <f t="shared" si="22"/>
        <v>114.76842105263158</v>
      </c>
      <c r="K68" s="32">
        <f t="shared" si="22"/>
        <v>441.03684210526313</v>
      </c>
      <c r="L68" s="30">
        <f t="shared" si="22"/>
        <v>325.56060606060606</v>
      </c>
      <c r="M68" s="30">
        <f t="shared" si="22"/>
        <v>228.98924731182797</v>
      </c>
      <c r="N68" s="30">
        <f t="shared" si="22"/>
        <v>111.37967914438502</v>
      </c>
      <c r="O68" s="6">
        <f t="shared" si="22"/>
        <v>482.06111111111113</v>
      </c>
      <c r="P68" s="6">
        <f t="shared" si="22"/>
        <v>448.64375</v>
      </c>
    </row>
    <row r="69" spans="1:14" ht="11.25">
      <c r="A69" s="19" t="s">
        <v>62</v>
      </c>
      <c r="E69" s="12"/>
      <c r="F69" s="33"/>
      <c r="K69" s="34"/>
      <c r="L69" s="12"/>
      <c r="M69" s="12"/>
      <c r="N69" s="12"/>
    </row>
    <row r="70" spans="1:16" ht="11.25">
      <c r="A70" s="25" t="s">
        <v>63</v>
      </c>
      <c r="C70" s="39">
        <f aca="true" t="shared" si="23" ref="C70:K70">(C10/G10)-1</f>
        <v>-0.46309807757453303</v>
      </c>
      <c r="D70" s="39">
        <f t="shared" si="23"/>
        <v>-0.39986820173539983</v>
      </c>
      <c r="E70" s="39">
        <f t="shared" si="23"/>
        <v>-0.25577416080042226</v>
      </c>
      <c r="F70" s="40">
        <f t="shared" si="23"/>
        <v>-0.1514584288343218</v>
      </c>
      <c r="G70" s="41">
        <f t="shared" si="23"/>
        <v>0.07774260060928517</v>
      </c>
      <c r="H70" s="41">
        <f t="shared" si="23"/>
        <v>0.13638747271259066</v>
      </c>
      <c r="I70" s="41">
        <f t="shared" si="23"/>
        <v>0.17421418902335106</v>
      </c>
      <c r="J70" s="41">
        <f t="shared" si="23"/>
        <v>0.2559578699044751</v>
      </c>
      <c r="K70" s="42">
        <f t="shared" si="23"/>
        <v>0.08027435762115265</v>
      </c>
      <c r="L70" s="39">
        <f>(L10/4783790)-1</f>
        <v>0.09422800750032923</v>
      </c>
      <c r="M70" s="39">
        <f>(M10/5112684)-1</f>
        <v>-0.08754677582264037</v>
      </c>
      <c r="N70" s="39">
        <f>(N10/4977404)-1</f>
        <v>-0.08363677129684466</v>
      </c>
      <c r="O70" s="7">
        <f>(O10/P10)-1</f>
        <v>-0.0045947914451452965</v>
      </c>
      <c r="P70" s="7">
        <f>(P10/4873537)-1</f>
        <v>0.021797721039154894</v>
      </c>
    </row>
    <row r="71" spans="1:16" ht="11.25">
      <c r="A71" s="25" t="s">
        <v>64</v>
      </c>
      <c r="C71" s="39">
        <f aca="true" t="shared" si="24" ref="C71:I73">(C12/G12)-1</f>
        <v>-0.5056387728819337</v>
      </c>
      <c r="D71" s="39">
        <f t="shared" si="24"/>
        <v>-0.45351652182174773</v>
      </c>
      <c r="E71" s="39">
        <f t="shared" si="24"/>
        <v>-0.3327217041152941</v>
      </c>
      <c r="F71" s="40">
        <f t="shared" si="24"/>
        <v>-0.2662699901509946</v>
      </c>
      <c r="G71" s="41">
        <f t="shared" si="24"/>
        <v>0.02667932997559741</v>
      </c>
      <c r="H71" s="41">
        <f t="shared" si="24"/>
        <v>0.057548985583888435</v>
      </c>
      <c r="I71" s="41">
        <f t="shared" si="24"/>
        <v>0.12398603551464737</v>
      </c>
      <c r="J71" s="41">
        <f>J12/N12-1</f>
        <v>0.24777536251893917</v>
      </c>
      <c r="K71" s="42">
        <f>(K12/O12)-1</f>
        <v>0.06289859729719938</v>
      </c>
      <c r="L71" s="39">
        <f>L12/4170214-1</f>
        <v>0.08827148918496741</v>
      </c>
      <c r="M71" s="39">
        <f>M12/4570402-1</f>
        <v>-0.10947899112594472</v>
      </c>
      <c r="N71" s="39">
        <f>N12/4431975-1</f>
        <v>-0.12569430107344914</v>
      </c>
      <c r="O71" s="7">
        <f>(O12/P12)-1</f>
        <v>-0.041581391509134424</v>
      </c>
      <c r="P71" s="7">
        <f>P12/4239130-1</f>
        <v>0.04013229129561968</v>
      </c>
    </row>
    <row r="72" spans="2:16" ht="11.25">
      <c r="B72" s="25" t="s">
        <v>15</v>
      </c>
      <c r="C72" s="39">
        <f t="shared" si="24"/>
        <v>-0.5781271103774293</v>
      </c>
      <c r="D72" s="39">
        <f t="shared" si="24"/>
        <v>-0.49919054557228426</v>
      </c>
      <c r="E72" s="39">
        <f t="shared" si="24"/>
        <v>-0.33496354793224326</v>
      </c>
      <c r="F72" s="40">
        <f t="shared" si="24"/>
        <v>-0.3234291249596384</v>
      </c>
      <c r="G72" s="41">
        <f t="shared" si="24"/>
        <v>0.6673464332273231</v>
      </c>
      <c r="H72" s="41">
        <f t="shared" si="24"/>
        <v>0.35569933630649286</v>
      </c>
      <c r="I72" s="41">
        <f t="shared" si="24"/>
        <v>0.14270199929019278</v>
      </c>
      <c r="J72" s="41">
        <f>(J13/N13)-1</f>
        <v>0.14237726606533352</v>
      </c>
      <c r="K72" s="42">
        <f>(K13/O13)-1</f>
        <v>-0.22000921202090662</v>
      </c>
      <c r="L72" s="39">
        <f>(L13/445564)-1</f>
        <v>0.02259608047328787</v>
      </c>
      <c r="M72" s="39">
        <f>(M13/420383)-1</f>
        <v>0.005392701417516799</v>
      </c>
      <c r="N72" s="39">
        <f>(N13/349582)-1</f>
        <v>0.16325211252295602</v>
      </c>
      <c r="O72" s="7">
        <f>(O13/P13)-1</f>
        <v>0.6892972773370787</v>
      </c>
      <c r="P72" s="7">
        <f>(P13/834)-1</f>
        <v>362.67625899280574</v>
      </c>
    </row>
    <row r="73" spans="2:16" ht="11.25">
      <c r="B73" s="25" t="s">
        <v>16</v>
      </c>
      <c r="C73" s="39">
        <f t="shared" si="24"/>
        <v>-0.4933953968908571</v>
      </c>
      <c r="D73" s="39">
        <f t="shared" si="24"/>
        <v>-0.44676994433738004</v>
      </c>
      <c r="E73" s="39">
        <f t="shared" si="24"/>
        <v>-0.33245708878257074</v>
      </c>
      <c r="F73" s="40">
        <f t="shared" si="24"/>
        <v>-0.26019435958170045</v>
      </c>
      <c r="G73" s="41">
        <f t="shared" si="24"/>
        <v>-0.03589063725693842</v>
      </c>
      <c r="H73" s="41">
        <f t="shared" si="24"/>
        <v>0.02427515367920141</v>
      </c>
      <c r="I73" s="41">
        <f t="shared" si="24"/>
        <v>0.12181727805835907</v>
      </c>
      <c r="J73" s="41">
        <f>(J14/N14)-1</f>
        <v>0.2601332833945891</v>
      </c>
      <c r="K73" s="42">
        <f>(K14/O14)-1</f>
        <v>0.10193268469780437</v>
      </c>
      <c r="L73" s="39">
        <f>(L14/3724651)-1</f>
        <v>0.09612766404154383</v>
      </c>
      <c r="M73" s="39">
        <f>(M14/4150019)-1</f>
        <v>-0.12111510814769766</v>
      </c>
      <c r="N73" s="39">
        <f>(N14/4082393)-1</f>
        <v>-0.15043725579580403</v>
      </c>
      <c r="O73" s="7">
        <f>(O14/P14)-1</f>
        <v>-0.09557130505729494</v>
      </c>
      <c r="P73" s="7">
        <f>(P14/4238296)-1</f>
        <v>-0.03122622865415725</v>
      </c>
    </row>
    <row r="74" spans="1:16" ht="11.25">
      <c r="A74" s="25" t="s">
        <v>65</v>
      </c>
      <c r="C74" s="39">
        <f aca="true" t="shared" si="25" ref="C74:K75">(C16/G16)-1</f>
        <v>-0.694386052440245</v>
      </c>
      <c r="D74" s="39">
        <f t="shared" si="25"/>
        <v>-0.7216578927361992</v>
      </c>
      <c r="E74" s="39">
        <f t="shared" si="25"/>
        <v>-0.6047363175915821</v>
      </c>
      <c r="F74" s="40">
        <f t="shared" si="25"/>
        <v>-0.4949214424902484</v>
      </c>
      <c r="G74" s="41">
        <f t="shared" si="25"/>
        <v>-0.08467947687139188</v>
      </c>
      <c r="H74" s="41">
        <f t="shared" si="25"/>
        <v>-0.034548519229605335</v>
      </c>
      <c r="I74" s="41">
        <f t="shared" si="25"/>
        <v>-0.05959912068615747</v>
      </c>
      <c r="J74" s="41">
        <f t="shared" si="25"/>
        <v>0.08606968024776251</v>
      </c>
      <c r="K74" s="42">
        <f t="shared" si="25"/>
        <v>0.055976235754721326</v>
      </c>
      <c r="L74" s="39">
        <f>L16/1199147-1</f>
        <v>0.2952356967077432</v>
      </c>
      <c r="M74" s="39">
        <f>M16/1229750-1</f>
        <v>0.22256149623907295</v>
      </c>
      <c r="N74" s="39">
        <f>N16/1063800-1</f>
        <v>0.27966159052453476</v>
      </c>
      <c r="O74" s="7">
        <f>(O16/P16)-1</f>
        <v>0.29740883127980977</v>
      </c>
      <c r="P74" s="7">
        <f>P16/1074910-1</f>
        <v>-0.02454810170153776</v>
      </c>
    </row>
    <row r="75" spans="2:16" ht="11.25">
      <c r="B75" s="25" t="s">
        <v>15</v>
      </c>
      <c r="C75" s="39">
        <f t="shared" si="25"/>
        <v>-0.6414918896580225</v>
      </c>
      <c r="D75" s="39">
        <f t="shared" si="25"/>
        <v>-0.5920302440222445</v>
      </c>
      <c r="E75" s="39">
        <f t="shared" si="25"/>
        <v>-0.7678695080631723</v>
      </c>
      <c r="F75" s="40">
        <f t="shared" si="25"/>
        <v>-0.7880191286994777</v>
      </c>
      <c r="G75" s="41">
        <f t="shared" si="25"/>
        <v>-0.6018838433695295</v>
      </c>
      <c r="H75" s="41">
        <f t="shared" si="25"/>
        <v>-0.307932557327789</v>
      </c>
      <c r="I75" s="41">
        <f t="shared" si="25"/>
        <v>-0.2512615060441389</v>
      </c>
      <c r="J75" s="41">
        <f t="shared" si="25"/>
        <v>0.21157232448833074</v>
      </c>
      <c r="K75" s="42">
        <f t="shared" si="25"/>
        <v>0.3637434510921391</v>
      </c>
      <c r="L75" s="39">
        <f>(L17/244125)-1</f>
        <v>0.34957501280081926</v>
      </c>
      <c r="M75" s="39">
        <f>(M17/270245)-1</f>
        <v>0.3346407889137635</v>
      </c>
      <c r="N75" s="39">
        <f>(N17/195938)-1</f>
        <v>0.5071502209882719</v>
      </c>
      <c r="O75" s="7">
        <f>(O17/P17)-1</f>
        <v>0.16374943425129684</v>
      </c>
      <c r="P75" s="7">
        <f>(P17/196664)-1</f>
        <v>0.16840906317373805</v>
      </c>
    </row>
    <row r="76" spans="2:16" ht="11.25">
      <c r="B76" s="25" t="s">
        <v>16</v>
      </c>
      <c r="C76" s="39">
        <f aca="true" t="shared" si="26" ref="C76:K76">(C21/G21)-1</f>
        <v>-0.7009514543684058</v>
      </c>
      <c r="D76" s="39">
        <f t="shared" si="26"/>
        <v>-0.7449032879121293</v>
      </c>
      <c r="E76" s="39">
        <f t="shared" si="26"/>
        <v>-0.5662195550566278</v>
      </c>
      <c r="F76" s="40">
        <f t="shared" si="26"/>
        <v>-0.401347748339407</v>
      </c>
      <c r="G76" s="41">
        <f t="shared" si="26"/>
        <v>0.09129424321558166</v>
      </c>
      <c r="H76" s="41">
        <f t="shared" si="26"/>
        <v>0.03905572630183718</v>
      </c>
      <c r="I76" s="41">
        <f t="shared" si="26"/>
        <v>0.0008934470341670497</v>
      </c>
      <c r="J76" s="41">
        <f t="shared" si="26"/>
        <v>0.05130225629364471</v>
      </c>
      <c r="K76" s="42">
        <f t="shared" si="26"/>
        <v>-0.019324727892899185</v>
      </c>
      <c r="L76" s="39">
        <f>(L21/955022)-1</f>
        <v>0.2813453512065691</v>
      </c>
      <c r="M76" s="39">
        <f>(M21/959505)-1</f>
        <v>0.19099431477689022</v>
      </c>
      <c r="N76" s="39">
        <f>(N21/867862)-1</f>
        <v>0.22830127370480557</v>
      </c>
      <c r="O76" s="7">
        <f>(O21/P21)-1</f>
        <v>0.33492114092525216</v>
      </c>
      <c r="P76" s="7">
        <f>(P21/878247)-1</f>
        <v>-0.06775770369839007</v>
      </c>
    </row>
    <row r="77" spans="1:16" ht="11.25">
      <c r="A77" s="25" t="s">
        <v>66</v>
      </c>
      <c r="C77" s="39">
        <f aca="true" t="shared" si="27" ref="C77:K77">(C25/G25)-1</f>
        <v>-0.6223669461393712</v>
      </c>
      <c r="D77" s="39">
        <f t="shared" si="27"/>
        <v>-0.6550815262155907</v>
      </c>
      <c r="E77" s="39">
        <f t="shared" si="27"/>
        <v>-0.6696025143525409</v>
      </c>
      <c r="F77" s="40">
        <f t="shared" si="27"/>
        <v>-0.15753834029526537</v>
      </c>
      <c r="G77" s="41">
        <f t="shared" si="27"/>
        <v>-0.028571100092466772</v>
      </c>
      <c r="H77" s="41">
        <f t="shared" si="27"/>
        <v>-0.021621953934753635</v>
      </c>
      <c r="I77" s="41">
        <f t="shared" si="27"/>
        <v>0.02098329070643068</v>
      </c>
      <c r="J77" s="41">
        <f t="shared" si="27"/>
        <v>0.012787299223807835</v>
      </c>
      <c r="K77" s="42">
        <f t="shared" si="27"/>
        <v>0.007350800100591748</v>
      </c>
      <c r="L77" s="39">
        <f>(L25/586204)-1</f>
        <v>0.026676720049675584</v>
      </c>
      <c r="M77" s="39">
        <f>(M25/562696)-1</f>
        <v>0.047833999175398434</v>
      </c>
      <c r="N77" s="39">
        <f>(N25/542663)-1</f>
        <v>0.09897487022332463</v>
      </c>
      <c r="O77" s="7">
        <f>(O25/P25)-1</f>
        <v>0.10877648694707842</v>
      </c>
      <c r="P77" s="7">
        <f>(P25/511468)-1</f>
        <v>0.06580861363760793</v>
      </c>
    </row>
    <row r="78" spans="1:16" ht="11.25">
      <c r="A78" s="11" t="s">
        <v>67</v>
      </c>
      <c r="B78" s="11"/>
      <c r="C78" s="43">
        <f aca="true" t="shared" si="28" ref="C78:K78">(C40/G40)-1</f>
        <v>-4.087632022041941</v>
      </c>
      <c r="D78" s="43">
        <f t="shared" si="28"/>
        <v>-5.166445508567472</v>
      </c>
      <c r="E78" s="43">
        <f t="shared" si="28"/>
        <v>-6.683404191560691</v>
      </c>
      <c r="F78" s="44">
        <f t="shared" si="28"/>
        <v>-1.0657617169586353</v>
      </c>
      <c r="G78" s="43">
        <f t="shared" si="28"/>
        <v>0.09147105504970354</v>
      </c>
      <c r="H78" s="43">
        <f t="shared" si="28"/>
        <v>0.07556507035261628</v>
      </c>
      <c r="I78" s="43">
        <f t="shared" si="28"/>
        <v>0.2535922238918107</v>
      </c>
      <c r="J78" s="43">
        <f t="shared" si="28"/>
        <v>0.04695602074130978</v>
      </c>
      <c r="K78" s="45">
        <f t="shared" si="28"/>
        <v>-0.034274123843219484</v>
      </c>
      <c r="L78" s="43">
        <f>(L40/64883)-1</f>
        <v>-0.006504014919162193</v>
      </c>
      <c r="M78" s="43">
        <f>(M40/41232)-1</f>
        <v>0.032984090027163404</v>
      </c>
      <c r="N78" s="43">
        <f>(N40/19800)-1</f>
        <v>0.05191919191919192</v>
      </c>
      <c r="O78" s="8">
        <f>(O40/P40)-1</f>
        <v>0.20879595447390042</v>
      </c>
      <c r="P78" s="8">
        <f>(P40/65904)-1</f>
        <v>0.08920551104637053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2017-06-16T16:08:39Z</dcterms:created>
  <dcterms:modified xsi:type="dcterms:W3CDTF">2017-06-16T16:08:43Z</dcterms:modified>
  <cp:category/>
  <cp:version/>
  <cp:contentType/>
  <cp:contentStatus/>
</cp:coreProperties>
</file>