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icsa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<sst xmlns="http://schemas.openxmlformats.org/spreadsheetml/2006/main" count="89" uniqueCount="68">
  <si>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18-25</t>
  </si>
  <si>
    <t>BANCO INTERNACIONAL DE COSTA RICA, S.A.</t>
  </si>
  <si>
    <t>ESTADISTICA FINANCIERA TRIMESTRES  2000, 2001 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</si>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</sst>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40">
    <font>
      <sz val="10"/>
      <name val="Arial"/>
      <family val="0"/>
    </font>
    <font>
      <b/>
      <sz val="7"/>
      <name val="Arial Narrow"/>
      <family val="2"/>
    </font>
    <font>
      <sz val="7"/>
      <name val="Arial"/>
      <family val="0"/>
    </font>
    <font>
      <sz val="7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195" fontId="1" fillId="0" borderId="0" xfId="46" applyNumberFormat="1" applyFont="1" applyAlignment="1">
      <alignment/>
    </xf>
    <xf numFmtId="0" fontId="3" fillId="0" borderId="0" xfId="0" applyFont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0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0" xfId="5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195" fontId="5" fillId="0" borderId="0" xfId="46" applyNumberFormat="1" applyFont="1" applyAlignment="1">
      <alignment/>
    </xf>
    <xf numFmtId="195" fontId="5" fillId="0" borderId="16" xfId="46" applyNumberFormat="1" applyFont="1" applyBorder="1" applyAlignment="1">
      <alignment/>
    </xf>
    <xf numFmtId="195" fontId="5" fillId="0" borderId="0" xfId="46" applyNumberFormat="1" applyFont="1" applyBorder="1" applyAlignment="1">
      <alignment/>
    </xf>
    <xf numFmtId="0" fontId="4" fillId="0" borderId="0" xfId="0" applyFont="1" applyAlignment="1">
      <alignment/>
    </xf>
    <xf numFmtId="195" fontId="4" fillId="0" borderId="0" xfId="46" applyNumberFormat="1" applyFont="1" applyAlignment="1">
      <alignment/>
    </xf>
    <xf numFmtId="195" fontId="4" fillId="0" borderId="0" xfId="46" applyNumberFormat="1" applyFont="1" applyBorder="1" applyAlignment="1">
      <alignment/>
    </xf>
    <xf numFmtId="195" fontId="4" fillId="0" borderId="15" xfId="46" applyNumberFormat="1" applyFont="1" applyBorder="1" applyAlignment="1">
      <alignment/>
    </xf>
    <xf numFmtId="195" fontId="4" fillId="0" borderId="16" xfId="46" applyNumberFormat="1" applyFont="1" applyBorder="1" applyAlignment="1">
      <alignment/>
    </xf>
    <xf numFmtId="195" fontId="4" fillId="0" borderId="10" xfId="46" applyNumberFormat="1" applyFont="1" applyBorder="1" applyAlignment="1">
      <alignment/>
    </xf>
    <xf numFmtId="195" fontId="4" fillId="0" borderId="13" xfId="46" applyNumberFormat="1" applyFont="1" applyBorder="1" applyAlignment="1">
      <alignment/>
    </xf>
    <xf numFmtId="195" fontId="4" fillId="0" borderId="14" xfId="46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95" fontId="4" fillId="0" borderId="0" xfId="46" applyNumberFormat="1" applyFont="1" applyFill="1" applyAlignment="1">
      <alignment/>
    </xf>
    <xf numFmtId="195" fontId="4" fillId="0" borderId="15" xfId="0" applyNumberFormat="1" applyFont="1" applyBorder="1" applyAlignment="1">
      <alignment/>
    </xf>
    <xf numFmtId="195" fontId="4" fillId="0" borderId="0" xfId="0" applyNumberFormat="1" applyFont="1" applyAlignment="1">
      <alignment/>
    </xf>
    <xf numFmtId="195" fontId="4" fillId="0" borderId="0" xfId="46" applyNumberFormat="1" applyFont="1" applyFill="1" applyBorder="1" applyAlignment="1">
      <alignment/>
    </xf>
    <xf numFmtId="195" fontId="4" fillId="0" borderId="10" xfId="46" applyNumberFormat="1" applyFont="1" applyFill="1" applyBorder="1" applyAlignment="1">
      <alignment/>
    </xf>
    <xf numFmtId="195" fontId="4" fillId="0" borderId="13" xfId="0" applyNumberFormat="1" applyFont="1" applyBorder="1" applyAlignment="1">
      <alignment/>
    </xf>
    <xf numFmtId="195" fontId="4" fillId="0" borderId="10" xfId="0" applyNumberFormat="1" applyFont="1" applyBorder="1" applyAlignment="1">
      <alignment/>
    </xf>
    <xf numFmtId="10" fontId="4" fillId="0" borderId="0" xfId="52" applyNumberFormat="1" applyFont="1" applyBorder="1" applyAlignment="1">
      <alignment/>
    </xf>
    <xf numFmtId="10" fontId="4" fillId="0" borderId="15" xfId="52" applyNumberFormat="1" applyFont="1" applyBorder="1" applyAlignment="1">
      <alignment/>
    </xf>
    <xf numFmtId="10" fontId="4" fillId="0" borderId="0" xfId="52" applyNumberFormat="1" applyFont="1" applyAlignment="1">
      <alignment/>
    </xf>
    <xf numFmtId="10" fontId="4" fillId="0" borderId="16" xfId="52" applyNumberFormat="1" applyFont="1" applyBorder="1" applyAlignment="1">
      <alignment/>
    </xf>
    <xf numFmtId="10" fontId="4" fillId="0" borderId="10" xfId="52" applyNumberFormat="1" applyFont="1" applyBorder="1" applyAlignment="1">
      <alignment/>
    </xf>
    <xf numFmtId="10" fontId="4" fillId="0" borderId="13" xfId="52" applyNumberFormat="1" applyFont="1" applyBorder="1" applyAlignment="1">
      <alignment/>
    </xf>
    <xf numFmtId="10" fontId="4" fillId="0" borderId="14" xfId="52" applyNumberFormat="1" applyFont="1" applyBorder="1" applyAlignment="1">
      <alignment/>
    </xf>
    <xf numFmtId="197" fontId="4" fillId="0" borderId="0" xfId="52" applyNumberFormat="1" applyFont="1" applyAlignment="1">
      <alignment/>
    </xf>
    <xf numFmtId="197" fontId="4" fillId="0" borderId="16" xfId="52" applyNumberFormat="1" applyFont="1" applyBorder="1" applyAlignment="1">
      <alignment/>
    </xf>
    <xf numFmtId="197" fontId="4" fillId="0" borderId="0" xfId="52" applyNumberFormat="1" applyFont="1" applyBorder="1" applyAlignment="1">
      <alignment/>
    </xf>
    <xf numFmtId="197" fontId="4" fillId="0" borderId="15" xfId="52" applyNumberFormat="1" applyFont="1" applyBorder="1" applyAlignment="1">
      <alignment/>
    </xf>
    <xf numFmtId="197" fontId="4" fillId="0" borderId="10" xfId="52" applyNumberFormat="1" applyFont="1" applyBorder="1" applyAlignment="1">
      <alignment/>
    </xf>
    <xf numFmtId="197" fontId="4" fillId="0" borderId="13" xfId="52" applyNumberFormat="1" applyFont="1" applyBorder="1" applyAlignment="1">
      <alignment/>
    </xf>
    <xf numFmtId="197" fontId="4" fillId="0" borderId="14" xfId="52" applyNumberFormat="1" applyFont="1" applyBorder="1" applyAlignment="1">
      <alignment/>
    </xf>
    <xf numFmtId="10" fontId="4" fillId="0" borderId="0" xfId="52" applyNumberFormat="1" applyFont="1" applyFill="1" applyBorder="1" applyAlignment="1">
      <alignment/>
    </xf>
    <xf numFmtId="10" fontId="4" fillId="0" borderId="16" xfId="52" applyNumberFormat="1" applyFont="1" applyFill="1" applyBorder="1" applyAlignment="1">
      <alignment/>
    </xf>
    <xf numFmtId="10" fontId="4" fillId="0" borderId="10" xfId="52" applyNumberFormat="1" applyFont="1" applyFill="1" applyBorder="1" applyAlignment="1">
      <alignment/>
    </xf>
    <xf numFmtId="10" fontId="4" fillId="0" borderId="14" xfId="52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485775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pane xSplit="2" ySplit="8" topLeftCell="C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G12" sqref="G12"/>
    </sheetView>
  </sheetViews>
  <sheetFormatPr defaultColWidth="11.421875" defaultRowHeight="12.75"/>
  <cols>
    <col min="1" max="1" width="3.28125" style="28" customWidth="1"/>
    <col min="2" max="2" width="22.421875" style="28" customWidth="1"/>
    <col min="3" max="3" width="8.8515625" style="28" customWidth="1"/>
    <col min="4" max="4" width="9.140625" style="28" customWidth="1"/>
    <col min="5" max="5" width="8.28125" style="28" customWidth="1"/>
    <col min="6" max="6" width="7.7109375" style="28" customWidth="1"/>
    <col min="7" max="7" width="8.140625" style="28" customWidth="1"/>
    <col min="8" max="8" width="8.421875" style="28" customWidth="1"/>
    <col min="9" max="9" width="8.00390625" style="28" customWidth="1"/>
    <col min="10" max="10" width="7.421875" style="28" customWidth="1"/>
    <col min="11" max="11" width="7.8515625" style="28" customWidth="1"/>
    <col min="12" max="12" width="7.7109375" style="28" bestFit="1" customWidth="1"/>
    <col min="13" max="14" width="7.57421875" style="28" customWidth="1"/>
    <col min="15" max="15" width="6.28125" style="2" hidden="1" customWidth="1"/>
    <col min="16" max="16" width="6.421875" style="2" hidden="1" customWidth="1"/>
    <col min="17" max="16384" width="11.421875" style="2" customWidth="1"/>
  </cols>
  <sheetData>
    <row r="1" spans="2:16" ht="11.25">
      <c r="B1" s="1"/>
      <c r="C1" s="1"/>
      <c r="D1" s="1"/>
      <c r="E1" s="1"/>
      <c r="F1" s="1"/>
      <c r="G1" s="1"/>
      <c r="H1" s="63" t="s">
        <v>0</v>
      </c>
      <c r="I1" s="1"/>
      <c r="J1" s="1"/>
      <c r="K1" s="1"/>
      <c r="L1" s="1"/>
      <c r="M1" s="1"/>
      <c r="N1" s="1"/>
      <c r="O1" s="1"/>
      <c r="P1" s="1"/>
    </row>
    <row r="2" spans="2:16" ht="11.25">
      <c r="B2" s="1"/>
      <c r="C2" s="1"/>
      <c r="D2" s="1"/>
      <c r="E2" s="1"/>
      <c r="F2" s="1"/>
      <c r="G2" s="1"/>
      <c r="H2" s="63" t="s">
        <v>1</v>
      </c>
      <c r="I2" s="1"/>
      <c r="J2" s="1"/>
      <c r="K2" s="1"/>
      <c r="L2" s="1"/>
      <c r="M2" s="1"/>
      <c r="N2" s="1"/>
      <c r="O2" s="1"/>
      <c r="P2" s="1"/>
    </row>
    <row r="3" spans="2:16" ht="11.25">
      <c r="B3" s="1"/>
      <c r="C3" s="1"/>
      <c r="D3" s="1"/>
      <c r="E3" s="1"/>
      <c r="F3" s="1"/>
      <c r="G3" s="1"/>
      <c r="H3" s="63" t="s">
        <v>2</v>
      </c>
      <c r="I3" s="1"/>
      <c r="J3" s="1"/>
      <c r="K3" s="1"/>
      <c r="L3" s="1"/>
      <c r="M3" s="1"/>
      <c r="N3" s="1"/>
      <c r="O3" s="1"/>
      <c r="P3" s="1"/>
    </row>
    <row r="4" spans="2:16" ht="11.25">
      <c r="B4" s="3"/>
      <c r="C4" s="3"/>
      <c r="D4" s="3"/>
      <c r="E4" s="3"/>
      <c r="F4" s="3"/>
      <c r="G4" s="3"/>
      <c r="H4" s="64" t="s">
        <v>3</v>
      </c>
      <c r="I4" s="3"/>
      <c r="J4" s="3"/>
      <c r="K4" s="3"/>
      <c r="L4" s="3"/>
      <c r="M4" s="3"/>
      <c r="N4" s="3"/>
      <c r="O4" s="3"/>
      <c r="P4" s="3"/>
    </row>
    <row r="5" spans="2:16" ht="11.25">
      <c r="B5" s="3"/>
      <c r="C5" s="3"/>
      <c r="D5" s="3"/>
      <c r="E5" s="3"/>
      <c r="F5" s="3"/>
      <c r="G5" s="3"/>
      <c r="H5" s="64"/>
      <c r="I5" s="3"/>
      <c r="J5" s="3"/>
      <c r="K5" s="3"/>
      <c r="L5" s="3"/>
      <c r="M5" s="3"/>
      <c r="N5" s="3"/>
      <c r="O5" s="3"/>
      <c r="P5" s="3"/>
    </row>
    <row r="6" spans="1:16" ht="11.25">
      <c r="A6" s="14"/>
      <c r="B6" s="14"/>
      <c r="C6" s="14"/>
      <c r="D6" s="14"/>
      <c r="E6" s="14"/>
      <c r="F6" s="14"/>
      <c r="G6" s="14"/>
      <c r="H6" s="14"/>
      <c r="I6" s="14"/>
      <c r="J6" s="14"/>
      <c r="K6" s="15"/>
      <c r="L6" s="15"/>
      <c r="M6" s="15"/>
      <c r="N6" s="15"/>
      <c r="O6" s="4"/>
      <c r="P6" s="4"/>
    </row>
    <row r="7" spans="1:16" ht="11.25">
      <c r="A7" s="16"/>
      <c r="B7" s="16"/>
      <c r="C7" s="66">
        <v>2002</v>
      </c>
      <c r="D7" s="66"/>
      <c r="E7" s="66"/>
      <c r="F7" s="68"/>
      <c r="G7" s="66">
        <v>2001</v>
      </c>
      <c r="H7" s="66"/>
      <c r="I7" s="66"/>
      <c r="J7" s="66"/>
      <c r="K7" s="65">
        <v>2000</v>
      </c>
      <c r="L7" s="66"/>
      <c r="M7" s="66"/>
      <c r="N7" s="66"/>
      <c r="O7" s="67" t="s">
        <v>4</v>
      </c>
      <c r="P7" s="67"/>
    </row>
    <row r="8" spans="1:16" ht="11.25">
      <c r="A8" s="17"/>
      <c r="B8" s="17"/>
      <c r="C8" s="18" t="s">
        <v>5</v>
      </c>
      <c r="D8" s="17" t="s">
        <v>6</v>
      </c>
      <c r="E8" s="19" t="s">
        <v>7</v>
      </c>
      <c r="F8" s="20" t="s">
        <v>8</v>
      </c>
      <c r="G8" s="18" t="s">
        <v>5</v>
      </c>
      <c r="H8" s="17" t="s">
        <v>6</v>
      </c>
      <c r="I8" s="17" t="s">
        <v>7</v>
      </c>
      <c r="J8" s="17" t="s">
        <v>8</v>
      </c>
      <c r="K8" s="21" t="s">
        <v>5</v>
      </c>
      <c r="L8" s="17" t="s">
        <v>6</v>
      </c>
      <c r="M8" s="17" t="s">
        <v>7</v>
      </c>
      <c r="N8" s="18" t="s">
        <v>8</v>
      </c>
      <c r="O8" s="5" t="s">
        <v>9</v>
      </c>
      <c r="P8" s="5" t="s">
        <v>10</v>
      </c>
    </row>
    <row r="9" spans="1:16" ht="11.25">
      <c r="A9" s="22" t="s">
        <v>11</v>
      </c>
      <c r="B9" s="22"/>
      <c r="C9" s="22"/>
      <c r="D9" s="22"/>
      <c r="E9" s="23"/>
      <c r="F9" s="24"/>
      <c r="G9" s="22"/>
      <c r="H9" s="22"/>
      <c r="I9" s="22"/>
      <c r="J9" s="25"/>
      <c r="K9" s="26"/>
      <c r="L9" s="27"/>
      <c r="M9" s="27"/>
      <c r="N9" s="27"/>
      <c r="O9" s="6"/>
      <c r="P9" s="6"/>
    </row>
    <row r="10" spans="1:16" ht="11.25">
      <c r="A10" s="28" t="s">
        <v>12</v>
      </c>
      <c r="C10" s="29">
        <v>563880</v>
      </c>
      <c r="D10" s="29">
        <v>548759</v>
      </c>
      <c r="E10" s="30">
        <v>548625</v>
      </c>
      <c r="F10" s="31">
        <v>523961</v>
      </c>
      <c r="G10" s="29">
        <v>610945</v>
      </c>
      <c r="H10" s="29">
        <v>584683</v>
      </c>
      <c r="I10" s="29">
        <v>590732</v>
      </c>
      <c r="J10" s="29">
        <v>577504</v>
      </c>
      <c r="K10" s="32">
        <v>562340</v>
      </c>
      <c r="L10" s="30">
        <v>559239</v>
      </c>
      <c r="M10" s="30">
        <v>520545</v>
      </c>
      <c r="N10" s="30">
        <v>607009</v>
      </c>
      <c r="O10" s="8">
        <v>620651</v>
      </c>
      <c r="P10" s="8">
        <v>586716</v>
      </c>
    </row>
    <row r="11" spans="1:16" ht="11.25">
      <c r="A11" s="28" t="s">
        <v>13</v>
      </c>
      <c r="C11" s="29">
        <v>117727</v>
      </c>
      <c r="D11" s="29">
        <v>100251</v>
      </c>
      <c r="E11" s="30">
        <v>78681</v>
      </c>
      <c r="F11" s="31">
        <v>70549</v>
      </c>
      <c r="G11" s="29">
        <v>137613</v>
      </c>
      <c r="H11" s="29">
        <v>112530</v>
      </c>
      <c r="I11" s="29">
        <v>146052</v>
      </c>
      <c r="J11" s="29">
        <v>97387</v>
      </c>
      <c r="K11" s="32">
        <v>102401</v>
      </c>
      <c r="L11" s="30">
        <v>114871</v>
      </c>
      <c r="M11" s="30">
        <v>79727</v>
      </c>
      <c r="N11" s="30">
        <v>159050</v>
      </c>
      <c r="O11" s="8">
        <v>154574</v>
      </c>
      <c r="P11" s="8">
        <v>155580</v>
      </c>
    </row>
    <row r="12" spans="1:16" ht="11.25">
      <c r="A12" s="28" t="s">
        <v>14</v>
      </c>
      <c r="C12" s="30">
        <f aca="true" t="shared" si="0" ref="C12:P12">C13+C14</f>
        <v>348495</v>
      </c>
      <c r="D12" s="30">
        <f t="shared" si="0"/>
        <v>338822</v>
      </c>
      <c r="E12" s="30">
        <f t="shared" si="0"/>
        <v>369672</v>
      </c>
      <c r="F12" s="31">
        <f t="shared" si="0"/>
        <v>358301</v>
      </c>
      <c r="G12" s="29">
        <f t="shared" si="0"/>
        <v>392938</v>
      </c>
      <c r="H12" s="29">
        <f t="shared" si="0"/>
        <v>393091</v>
      </c>
      <c r="I12" s="29">
        <f t="shared" si="0"/>
        <v>370046</v>
      </c>
      <c r="J12" s="29">
        <f t="shared" si="0"/>
        <v>416841</v>
      </c>
      <c r="K12" s="32">
        <f t="shared" si="0"/>
        <v>394847</v>
      </c>
      <c r="L12" s="30">
        <f t="shared" si="0"/>
        <v>378069</v>
      </c>
      <c r="M12" s="30">
        <f t="shared" si="0"/>
        <v>378009</v>
      </c>
      <c r="N12" s="30">
        <f t="shared" si="0"/>
        <v>369648</v>
      </c>
      <c r="O12" s="8">
        <f t="shared" si="0"/>
        <v>386697</v>
      </c>
      <c r="P12" s="8">
        <f t="shared" si="0"/>
        <v>366933</v>
      </c>
    </row>
    <row r="13" spans="2:16" ht="11.25">
      <c r="B13" s="28" t="s">
        <v>15</v>
      </c>
      <c r="C13" s="29">
        <v>61786</v>
      </c>
      <c r="D13" s="29">
        <v>62800</v>
      </c>
      <c r="E13" s="30">
        <v>43034</v>
      </c>
      <c r="F13" s="31">
        <v>41237</v>
      </c>
      <c r="G13" s="29">
        <v>41642</v>
      </c>
      <c r="H13" s="29">
        <v>38753</v>
      </c>
      <c r="I13" s="29">
        <v>37951</v>
      </c>
      <c r="J13" s="29">
        <v>35425</v>
      </c>
      <c r="K13" s="32">
        <v>33420</v>
      </c>
      <c r="L13" s="30">
        <v>32143</v>
      </c>
      <c r="M13" s="30">
        <v>29143</v>
      </c>
      <c r="N13" s="30">
        <v>26962</v>
      </c>
      <c r="O13" s="8">
        <v>28539</v>
      </c>
      <c r="P13" s="8">
        <v>31130</v>
      </c>
    </row>
    <row r="14" spans="2:16" ht="11.25">
      <c r="B14" s="28" t="s">
        <v>16</v>
      </c>
      <c r="C14" s="29">
        <v>286709</v>
      </c>
      <c r="D14" s="29">
        <v>276022</v>
      </c>
      <c r="E14" s="30">
        <v>326638</v>
      </c>
      <c r="F14" s="31">
        <v>317064</v>
      </c>
      <c r="G14" s="29">
        <v>351296</v>
      </c>
      <c r="H14" s="29">
        <v>354338</v>
      </c>
      <c r="I14" s="29">
        <v>332095</v>
      </c>
      <c r="J14" s="29">
        <v>381416</v>
      </c>
      <c r="K14" s="32">
        <v>361427</v>
      </c>
      <c r="L14" s="30">
        <v>345926</v>
      </c>
      <c r="M14" s="30">
        <v>348866</v>
      </c>
      <c r="N14" s="30">
        <v>342686</v>
      </c>
      <c r="O14" s="8">
        <v>358158</v>
      </c>
      <c r="P14" s="8">
        <v>335803</v>
      </c>
    </row>
    <row r="15" spans="1:16" ht="11.25">
      <c r="A15" s="28" t="s">
        <v>17</v>
      </c>
      <c r="C15" s="29">
        <v>79703</v>
      </c>
      <c r="D15" s="29">
        <v>87300</v>
      </c>
      <c r="E15" s="30">
        <v>78055</v>
      </c>
      <c r="F15" s="31">
        <v>73740</v>
      </c>
      <c r="G15" s="29">
        <v>63148</v>
      </c>
      <c r="H15" s="29">
        <v>63161</v>
      </c>
      <c r="I15" s="29">
        <v>58523</v>
      </c>
      <c r="J15" s="29">
        <v>45760</v>
      </c>
      <c r="K15" s="32">
        <v>49613</v>
      </c>
      <c r="L15" s="30">
        <v>48623</v>
      </c>
      <c r="M15" s="30">
        <v>42190</v>
      </c>
      <c r="N15" s="30">
        <v>52337</v>
      </c>
      <c r="O15" s="8">
        <v>52694</v>
      </c>
      <c r="P15" s="8">
        <v>42235</v>
      </c>
    </row>
    <row r="16" spans="1:16" ht="11.25">
      <c r="A16" s="28" t="s">
        <v>18</v>
      </c>
      <c r="C16" s="30">
        <f aca="true" t="shared" si="1" ref="C16:P16">C17+C21</f>
        <v>386653</v>
      </c>
      <c r="D16" s="30">
        <f t="shared" si="1"/>
        <v>389860</v>
      </c>
      <c r="E16" s="30">
        <f t="shared" si="1"/>
        <v>395710</v>
      </c>
      <c r="F16" s="31">
        <f t="shared" si="1"/>
        <v>383807</v>
      </c>
      <c r="G16" s="29">
        <f t="shared" si="1"/>
        <v>442663</v>
      </c>
      <c r="H16" s="29">
        <f t="shared" si="1"/>
        <v>429522</v>
      </c>
      <c r="I16" s="29">
        <f t="shared" si="1"/>
        <v>412692</v>
      </c>
      <c r="J16" s="29">
        <f t="shared" si="1"/>
        <v>407205</v>
      </c>
      <c r="K16" s="32">
        <f t="shared" si="1"/>
        <v>423829</v>
      </c>
      <c r="L16" s="30">
        <f t="shared" si="1"/>
        <v>407282</v>
      </c>
      <c r="M16" s="30">
        <f t="shared" si="1"/>
        <v>369404</v>
      </c>
      <c r="N16" s="30">
        <f t="shared" si="1"/>
        <v>451786</v>
      </c>
      <c r="O16" s="8">
        <f t="shared" si="1"/>
        <v>447733</v>
      </c>
      <c r="P16" s="8">
        <f t="shared" si="1"/>
        <v>449184</v>
      </c>
    </row>
    <row r="17" spans="2:16" ht="11.25">
      <c r="B17" s="28" t="s">
        <v>15</v>
      </c>
      <c r="C17" s="30">
        <f aca="true" t="shared" si="2" ref="C17:P17">SUM(C18:C20)</f>
        <v>85347</v>
      </c>
      <c r="D17" s="30">
        <f t="shared" si="2"/>
        <v>84742</v>
      </c>
      <c r="E17" s="30">
        <f t="shared" si="2"/>
        <v>84151</v>
      </c>
      <c r="F17" s="31">
        <f t="shared" si="2"/>
        <v>74461</v>
      </c>
      <c r="G17" s="29">
        <f t="shared" si="2"/>
        <v>66576</v>
      </c>
      <c r="H17" s="29">
        <f t="shared" si="2"/>
        <v>54205</v>
      </c>
      <c r="I17" s="29">
        <f t="shared" si="2"/>
        <v>53738</v>
      </c>
      <c r="J17" s="29">
        <f t="shared" si="2"/>
        <v>54469</v>
      </c>
      <c r="K17" s="32">
        <f t="shared" si="2"/>
        <v>52742</v>
      </c>
      <c r="L17" s="30">
        <f t="shared" si="2"/>
        <v>37161</v>
      </c>
      <c r="M17" s="30">
        <f t="shared" si="2"/>
        <v>32851</v>
      </c>
      <c r="N17" s="30">
        <f t="shared" si="2"/>
        <v>43059</v>
      </c>
      <c r="O17" s="8">
        <f t="shared" si="2"/>
        <v>40354</v>
      </c>
      <c r="P17" s="8">
        <f t="shared" si="2"/>
        <v>23289</v>
      </c>
    </row>
    <row r="18" spans="2:16" ht="11.25">
      <c r="B18" s="28" t="s">
        <v>19</v>
      </c>
      <c r="C18" s="29">
        <v>0</v>
      </c>
      <c r="D18" s="29">
        <v>0</v>
      </c>
      <c r="E18" s="30">
        <v>0</v>
      </c>
      <c r="F18" s="31">
        <v>0</v>
      </c>
      <c r="G18" s="29">
        <v>0</v>
      </c>
      <c r="H18" s="29">
        <v>0</v>
      </c>
      <c r="I18" s="29">
        <v>0</v>
      </c>
      <c r="J18" s="29">
        <v>0</v>
      </c>
      <c r="K18" s="32">
        <v>0</v>
      </c>
      <c r="L18" s="30">
        <v>0</v>
      </c>
      <c r="M18" s="30">
        <v>0</v>
      </c>
      <c r="N18" s="30">
        <v>0</v>
      </c>
      <c r="O18" s="8">
        <v>0</v>
      </c>
      <c r="P18" s="8">
        <v>0</v>
      </c>
    </row>
    <row r="19" spans="2:16" ht="11.25">
      <c r="B19" s="28" t="s">
        <v>20</v>
      </c>
      <c r="C19" s="29">
        <v>41629</v>
      </c>
      <c r="D19" s="29">
        <v>37683</v>
      </c>
      <c r="E19" s="30">
        <v>38239</v>
      </c>
      <c r="F19" s="31">
        <v>33237</v>
      </c>
      <c r="G19" s="29">
        <f>5278+24776</f>
        <v>30054</v>
      </c>
      <c r="H19" s="29">
        <v>20659</v>
      </c>
      <c r="I19" s="29">
        <v>19594</v>
      </c>
      <c r="J19" s="29">
        <v>19219</v>
      </c>
      <c r="K19" s="32">
        <f>3919+14378</f>
        <v>18297</v>
      </c>
      <c r="L19" s="30">
        <v>15605</v>
      </c>
      <c r="M19" s="30">
        <v>16357</v>
      </c>
      <c r="N19" s="30">
        <v>14151</v>
      </c>
      <c r="O19" s="8">
        <v>13766</v>
      </c>
      <c r="P19" s="8">
        <v>13791</v>
      </c>
    </row>
    <row r="20" spans="2:16" ht="11.25">
      <c r="B20" s="28" t="s">
        <v>21</v>
      </c>
      <c r="C20" s="29">
        <v>43718</v>
      </c>
      <c r="D20" s="29">
        <v>47059</v>
      </c>
      <c r="E20" s="30">
        <v>45912</v>
      </c>
      <c r="F20" s="31">
        <v>41224</v>
      </c>
      <c r="G20" s="29">
        <v>36522</v>
      </c>
      <c r="H20" s="29">
        <v>33546</v>
      </c>
      <c r="I20" s="29">
        <v>34144</v>
      </c>
      <c r="J20" s="29">
        <v>35250</v>
      </c>
      <c r="K20" s="32">
        <f>34391+54</f>
        <v>34445</v>
      </c>
      <c r="L20" s="30">
        <v>21556</v>
      </c>
      <c r="M20" s="30">
        <v>16494</v>
      </c>
      <c r="N20" s="30">
        <v>28908</v>
      </c>
      <c r="O20" s="8">
        <v>26588</v>
      </c>
      <c r="P20" s="8">
        <v>9498</v>
      </c>
    </row>
    <row r="21" spans="2:16" ht="11.25">
      <c r="B21" s="28" t="s">
        <v>16</v>
      </c>
      <c r="C21" s="30">
        <f>SUM(C22:C24)</f>
        <v>301306</v>
      </c>
      <c r="D21" s="30">
        <f>SUM(D22:D24)</f>
        <v>305118</v>
      </c>
      <c r="E21" s="30">
        <f>SUM(E22:E24)</f>
        <v>311559</v>
      </c>
      <c r="F21" s="31">
        <f>SUM(F22:F24)</f>
        <v>309346</v>
      </c>
      <c r="G21" s="29">
        <f aca="true" t="shared" si="3" ref="G21:P21">SUM(G23:G24)</f>
        <v>376087</v>
      </c>
      <c r="H21" s="29">
        <f t="shared" si="3"/>
        <v>375317</v>
      </c>
      <c r="I21" s="29">
        <f t="shared" si="3"/>
        <v>358954</v>
      </c>
      <c r="J21" s="29">
        <f t="shared" si="3"/>
        <v>352736</v>
      </c>
      <c r="K21" s="32">
        <f t="shared" si="3"/>
        <v>371087</v>
      </c>
      <c r="L21" s="30">
        <f t="shared" si="3"/>
        <v>370121</v>
      </c>
      <c r="M21" s="30">
        <f t="shared" si="3"/>
        <v>336553</v>
      </c>
      <c r="N21" s="30">
        <f t="shared" si="3"/>
        <v>408727</v>
      </c>
      <c r="O21" s="8">
        <f t="shared" si="3"/>
        <v>407379</v>
      </c>
      <c r="P21" s="8">
        <f t="shared" si="3"/>
        <v>425895</v>
      </c>
    </row>
    <row r="22" spans="2:16" ht="11.25">
      <c r="B22" s="28" t="s">
        <v>19</v>
      </c>
      <c r="C22" s="30">
        <v>9650</v>
      </c>
      <c r="D22" s="30">
        <v>3360</v>
      </c>
      <c r="E22" s="30">
        <v>11090</v>
      </c>
      <c r="F22" s="31">
        <v>6470</v>
      </c>
      <c r="G22" s="29">
        <v>0</v>
      </c>
      <c r="H22" s="29">
        <v>0</v>
      </c>
      <c r="I22" s="29">
        <v>0</v>
      </c>
      <c r="J22" s="29">
        <v>0</v>
      </c>
      <c r="K22" s="32">
        <v>0</v>
      </c>
      <c r="L22" s="30">
        <v>0</v>
      </c>
      <c r="M22" s="30">
        <v>0</v>
      </c>
      <c r="N22" s="30">
        <v>0</v>
      </c>
      <c r="O22" s="8"/>
      <c r="P22" s="8"/>
    </row>
    <row r="23" spans="2:16" ht="11.25">
      <c r="B23" s="28" t="s">
        <v>20</v>
      </c>
      <c r="C23" s="29">
        <v>161323</v>
      </c>
      <c r="D23" s="29">
        <v>157226</v>
      </c>
      <c r="E23" s="30">
        <v>158453</v>
      </c>
      <c r="F23" s="31">
        <v>154380</v>
      </c>
      <c r="G23" s="29">
        <f>107019+53721</f>
        <v>160740</v>
      </c>
      <c r="H23" s="29">
        <v>152733</v>
      </c>
      <c r="I23" s="29">
        <v>162108</v>
      </c>
      <c r="J23" s="29">
        <v>150422</v>
      </c>
      <c r="K23" s="32">
        <f>62769+105126</f>
        <v>167895</v>
      </c>
      <c r="L23" s="30">
        <v>171889</v>
      </c>
      <c r="M23" s="30">
        <v>168203</v>
      </c>
      <c r="N23" s="30">
        <v>190011</v>
      </c>
      <c r="O23" s="8">
        <v>171837</v>
      </c>
      <c r="P23" s="8">
        <v>226250</v>
      </c>
    </row>
    <row r="24" spans="2:16" ht="11.25">
      <c r="B24" s="28" t="s">
        <v>21</v>
      </c>
      <c r="C24" s="29">
        <v>130333</v>
      </c>
      <c r="D24" s="29">
        <v>144532</v>
      </c>
      <c r="E24" s="30">
        <v>142016</v>
      </c>
      <c r="F24" s="31">
        <v>148496</v>
      </c>
      <c r="G24" s="29">
        <f>6284+3297+18463+69366+117937</f>
        <v>215347</v>
      </c>
      <c r="H24" s="29">
        <v>222584</v>
      </c>
      <c r="I24" s="29">
        <v>196846</v>
      </c>
      <c r="J24" s="29">
        <v>202314</v>
      </c>
      <c r="K24" s="32">
        <v>203192</v>
      </c>
      <c r="L24" s="30">
        <v>198232</v>
      </c>
      <c r="M24" s="30">
        <v>168350</v>
      </c>
      <c r="N24" s="30">
        <v>218716</v>
      </c>
      <c r="O24" s="8">
        <v>235542</v>
      </c>
      <c r="P24" s="8">
        <v>199645</v>
      </c>
    </row>
    <row r="25" spans="1:16" ht="11.25">
      <c r="A25" s="14" t="s">
        <v>22</v>
      </c>
      <c r="B25" s="14"/>
      <c r="C25" s="33">
        <v>101158</v>
      </c>
      <c r="D25" s="33">
        <v>102067</v>
      </c>
      <c r="E25" s="33">
        <v>101688</v>
      </c>
      <c r="F25" s="34">
        <v>99425</v>
      </c>
      <c r="G25" s="33">
        <v>99309</v>
      </c>
      <c r="H25" s="33">
        <v>107785</v>
      </c>
      <c r="I25" s="33">
        <v>105877</v>
      </c>
      <c r="J25" s="33">
        <v>103605</v>
      </c>
      <c r="K25" s="35">
        <v>101017</v>
      </c>
      <c r="L25" s="33">
        <v>98847</v>
      </c>
      <c r="M25" s="33">
        <v>95932</v>
      </c>
      <c r="N25" s="33">
        <v>93645</v>
      </c>
      <c r="O25" s="9">
        <v>91162</v>
      </c>
      <c r="P25" s="9">
        <v>84484</v>
      </c>
    </row>
    <row r="26" spans="1:16" ht="11.25">
      <c r="A26" s="22" t="s">
        <v>23</v>
      </c>
      <c r="E26" s="30"/>
      <c r="F26" s="36"/>
      <c r="H26" s="29"/>
      <c r="J26" s="29"/>
      <c r="K26" s="32"/>
      <c r="L26" s="30"/>
      <c r="M26" s="30"/>
      <c r="N26" s="30"/>
      <c r="O26" s="8"/>
      <c r="P26" s="8"/>
    </row>
    <row r="27" spans="1:16" ht="11.25">
      <c r="A27" s="28" t="s">
        <v>12</v>
      </c>
      <c r="C27" s="30">
        <f aca="true" t="shared" si="4" ref="C27:J27">(C10+G10)/2</f>
        <v>587412.5</v>
      </c>
      <c r="D27" s="30">
        <f t="shared" si="4"/>
        <v>566721</v>
      </c>
      <c r="E27" s="30">
        <f t="shared" si="4"/>
        <v>569678.5</v>
      </c>
      <c r="F27" s="31">
        <f t="shared" si="4"/>
        <v>550732.5</v>
      </c>
      <c r="G27" s="29">
        <f t="shared" si="4"/>
        <v>586642.5</v>
      </c>
      <c r="H27" s="29">
        <f t="shared" si="4"/>
        <v>571961</v>
      </c>
      <c r="I27" s="29">
        <f t="shared" si="4"/>
        <v>555638.5</v>
      </c>
      <c r="J27" s="29">
        <f t="shared" si="4"/>
        <v>592256.5</v>
      </c>
      <c r="K27" s="32">
        <f>(K10+620651)/2</f>
        <v>591495.5</v>
      </c>
      <c r="L27" s="30">
        <f>(L10+560622)/2</f>
        <v>559930.5</v>
      </c>
      <c r="M27" s="30">
        <f>(M10+510013)/2</f>
        <v>515279</v>
      </c>
      <c r="N27" s="30">
        <f>(N10+586172)/2</f>
        <v>596590.5</v>
      </c>
      <c r="O27" s="8">
        <f>(O10+P10)/2</f>
        <v>603683.5</v>
      </c>
      <c r="P27" s="8">
        <f>(P10+588654)/2</f>
        <v>587685</v>
      </c>
    </row>
    <row r="28" spans="1:16" ht="11.25">
      <c r="A28" s="28" t="s">
        <v>24</v>
      </c>
      <c r="C28" s="30">
        <f aca="true" t="shared" si="5" ref="C28:P28">C29+C30</f>
        <v>442142</v>
      </c>
      <c r="D28" s="30">
        <f t="shared" si="5"/>
        <v>441187</v>
      </c>
      <c r="E28" s="30">
        <f t="shared" si="5"/>
        <v>438148</v>
      </c>
      <c r="F28" s="31">
        <f t="shared" si="5"/>
        <v>447321</v>
      </c>
      <c r="G28" s="29">
        <f t="shared" si="5"/>
        <v>450273</v>
      </c>
      <c r="H28" s="29">
        <f t="shared" si="5"/>
        <v>441472</v>
      </c>
      <c r="I28" s="29">
        <f t="shared" si="5"/>
        <v>424384</v>
      </c>
      <c r="J28" s="29">
        <f t="shared" si="5"/>
        <v>442293</v>
      </c>
      <c r="K28" s="32">
        <f t="shared" si="5"/>
        <v>441925.5</v>
      </c>
      <c r="L28" s="30">
        <f t="shared" si="5"/>
        <v>409095.5</v>
      </c>
      <c r="M28" s="30">
        <f t="shared" si="5"/>
        <v>411825</v>
      </c>
      <c r="N28" s="30">
        <f t="shared" si="5"/>
        <v>406224</v>
      </c>
      <c r="O28" s="8">
        <f t="shared" si="5"/>
        <v>424279.5</v>
      </c>
      <c r="P28" s="8">
        <f t="shared" si="5"/>
        <v>413715</v>
      </c>
    </row>
    <row r="29" spans="2:16" ht="11.25">
      <c r="B29" s="28" t="s">
        <v>14</v>
      </c>
      <c r="C29" s="30">
        <f aca="true" t="shared" si="6" ref="C29:K29">(C12+G12)/2</f>
        <v>370716.5</v>
      </c>
      <c r="D29" s="30">
        <f t="shared" si="6"/>
        <v>365956.5</v>
      </c>
      <c r="E29" s="30">
        <f t="shared" si="6"/>
        <v>369859</v>
      </c>
      <c r="F29" s="31">
        <f t="shared" si="6"/>
        <v>387571</v>
      </c>
      <c r="G29" s="29">
        <f t="shared" si="6"/>
        <v>393892.5</v>
      </c>
      <c r="H29" s="29">
        <f t="shared" si="6"/>
        <v>385580</v>
      </c>
      <c r="I29" s="29">
        <f t="shared" si="6"/>
        <v>374027.5</v>
      </c>
      <c r="J29" s="29">
        <f t="shared" si="6"/>
        <v>393244.5</v>
      </c>
      <c r="K29" s="32">
        <f t="shared" si="6"/>
        <v>390772</v>
      </c>
      <c r="L29" s="30">
        <f>(L12+341933)/2</f>
        <v>360001</v>
      </c>
      <c r="M29" s="30">
        <f>(M12+355390)/2</f>
        <v>366699.5</v>
      </c>
      <c r="N29" s="30">
        <f>(N12+345323)/2</f>
        <v>357485.5</v>
      </c>
      <c r="O29" s="8">
        <f>(O12+P12)/2</f>
        <v>376815</v>
      </c>
      <c r="P29" s="8">
        <f>(P12+371208)/2</f>
        <v>369070.5</v>
      </c>
    </row>
    <row r="30" spans="2:16" ht="11.25">
      <c r="B30" s="28" t="s">
        <v>17</v>
      </c>
      <c r="C30" s="30">
        <f aca="true" t="shared" si="7" ref="C30:K30">(C15+G15)/2</f>
        <v>71425.5</v>
      </c>
      <c r="D30" s="30">
        <f t="shared" si="7"/>
        <v>75230.5</v>
      </c>
      <c r="E30" s="30">
        <f t="shared" si="7"/>
        <v>68289</v>
      </c>
      <c r="F30" s="31">
        <f t="shared" si="7"/>
        <v>59750</v>
      </c>
      <c r="G30" s="29">
        <f t="shared" si="7"/>
        <v>56380.5</v>
      </c>
      <c r="H30" s="29">
        <f t="shared" si="7"/>
        <v>55892</v>
      </c>
      <c r="I30" s="29">
        <f t="shared" si="7"/>
        <v>50356.5</v>
      </c>
      <c r="J30" s="29">
        <f t="shared" si="7"/>
        <v>49048.5</v>
      </c>
      <c r="K30" s="32">
        <f t="shared" si="7"/>
        <v>51153.5</v>
      </c>
      <c r="L30" s="30">
        <f>(L15+49566)/2</f>
        <v>49094.5</v>
      </c>
      <c r="M30" s="30">
        <f>(M15+48061)/2</f>
        <v>45125.5</v>
      </c>
      <c r="N30" s="30">
        <f>(N15+45140)/2</f>
        <v>48738.5</v>
      </c>
      <c r="O30" s="8">
        <f>(O15+P15)/2</f>
        <v>47464.5</v>
      </c>
      <c r="P30" s="8">
        <f>(P15+47054)/2</f>
        <v>44644.5</v>
      </c>
    </row>
    <row r="31" spans="1:16" ht="11.25">
      <c r="A31" s="14" t="s">
        <v>22</v>
      </c>
      <c r="B31" s="14"/>
      <c r="C31" s="33">
        <f aca="true" t="shared" si="8" ref="C31:K31">(C25+G25)/2</f>
        <v>100233.5</v>
      </c>
      <c r="D31" s="33">
        <f t="shared" si="8"/>
        <v>104926</v>
      </c>
      <c r="E31" s="33">
        <f t="shared" si="8"/>
        <v>103782.5</v>
      </c>
      <c r="F31" s="34">
        <f t="shared" si="8"/>
        <v>101515</v>
      </c>
      <c r="G31" s="33">
        <f t="shared" si="8"/>
        <v>100163</v>
      </c>
      <c r="H31" s="33">
        <f t="shared" si="8"/>
        <v>103316</v>
      </c>
      <c r="I31" s="33">
        <f t="shared" si="8"/>
        <v>100904.5</v>
      </c>
      <c r="J31" s="33">
        <f t="shared" si="8"/>
        <v>98625</v>
      </c>
      <c r="K31" s="35">
        <f t="shared" si="8"/>
        <v>96089.5</v>
      </c>
      <c r="L31" s="33">
        <f>(L25+89089)/2</f>
        <v>93968</v>
      </c>
      <c r="M31" s="33">
        <f>(M25+88213)/2</f>
        <v>92072.5</v>
      </c>
      <c r="N31" s="33">
        <f>(N25+86490)/2</f>
        <v>90067.5</v>
      </c>
      <c r="O31" s="9">
        <f>(O25+P25)/2</f>
        <v>87823</v>
      </c>
      <c r="P31" s="9">
        <f>(P25+77560)/2</f>
        <v>81022</v>
      </c>
    </row>
    <row r="32" spans="1:16" ht="11.25">
      <c r="A32" s="22" t="s">
        <v>25</v>
      </c>
      <c r="E32" s="30"/>
      <c r="F32" s="36"/>
      <c r="H32" s="29"/>
      <c r="J32" s="29"/>
      <c r="K32" s="37"/>
      <c r="L32" s="15"/>
      <c r="M32" s="15"/>
      <c r="N32" s="15"/>
      <c r="O32" s="7"/>
      <c r="P32" s="7"/>
    </row>
    <row r="33" spans="1:16" ht="11.25">
      <c r="A33" s="28" t="s">
        <v>26</v>
      </c>
      <c r="C33" s="38">
        <v>26873</v>
      </c>
      <c r="D33" s="29">
        <v>20560</v>
      </c>
      <c r="E33" s="30">
        <v>14046</v>
      </c>
      <c r="F33" s="39">
        <v>7328</v>
      </c>
      <c r="G33" s="40">
        <v>37494</v>
      </c>
      <c r="H33" s="29">
        <f>I33+8811</f>
        <v>29179</v>
      </c>
      <c r="I33" s="29">
        <f>J33+9997</f>
        <v>20368</v>
      </c>
      <c r="J33" s="29">
        <v>10371</v>
      </c>
      <c r="K33" s="32">
        <f>11070+L33</f>
        <v>41990</v>
      </c>
      <c r="L33" s="30">
        <f>10587+M33</f>
        <v>30920</v>
      </c>
      <c r="M33" s="30">
        <f>10037+N33</f>
        <v>20333</v>
      </c>
      <c r="N33" s="30">
        <v>10296</v>
      </c>
      <c r="O33" s="8">
        <v>36810</v>
      </c>
      <c r="P33" s="8">
        <v>36617</v>
      </c>
    </row>
    <row r="34" spans="1:16" ht="11.25">
      <c r="A34" s="28" t="s">
        <v>27</v>
      </c>
      <c r="C34" s="38">
        <v>11649</v>
      </c>
      <c r="D34" s="29">
        <v>9056</v>
      </c>
      <c r="E34" s="30">
        <v>6263</v>
      </c>
      <c r="F34" s="39">
        <v>3316</v>
      </c>
      <c r="G34" s="40">
        <v>19587</v>
      </c>
      <c r="H34" s="29">
        <f>I34+4570</f>
        <v>15601</v>
      </c>
      <c r="I34" s="29">
        <f>J34+5428</f>
        <v>11031</v>
      </c>
      <c r="J34" s="29">
        <v>5603</v>
      </c>
      <c r="K34" s="32">
        <f>6406+L34</f>
        <v>23721</v>
      </c>
      <c r="L34" s="30">
        <f>5959+M34</f>
        <v>17315</v>
      </c>
      <c r="M34" s="30">
        <f>5564+N34</f>
        <v>11356</v>
      </c>
      <c r="N34" s="30">
        <v>5792</v>
      </c>
      <c r="O34" s="8">
        <v>20251</v>
      </c>
      <c r="P34" s="8">
        <v>21254</v>
      </c>
    </row>
    <row r="35" spans="1:16" ht="11.25">
      <c r="A35" s="28" t="s">
        <v>28</v>
      </c>
      <c r="C35" s="41">
        <f aca="true" t="shared" si="9" ref="C35:P35">C33-C34</f>
        <v>15224</v>
      </c>
      <c r="D35" s="30">
        <f t="shared" si="9"/>
        <v>11504</v>
      </c>
      <c r="E35" s="30">
        <f t="shared" si="9"/>
        <v>7783</v>
      </c>
      <c r="F35" s="31">
        <f t="shared" si="9"/>
        <v>4012</v>
      </c>
      <c r="G35" s="29">
        <f t="shared" si="9"/>
        <v>17907</v>
      </c>
      <c r="H35" s="29">
        <f t="shared" si="9"/>
        <v>13578</v>
      </c>
      <c r="I35" s="29">
        <f t="shared" si="9"/>
        <v>9337</v>
      </c>
      <c r="J35" s="29">
        <f t="shared" si="9"/>
        <v>4768</v>
      </c>
      <c r="K35" s="32">
        <f t="shared" si="9"/>
        <v>18269</v>
      </c>
      <c r="L35" s="30">
        <f t="shared" si="9"/>
        <v>13605</v>
      </c>
      <c r="M35" s="30">
        <f t="shared" si="9"/>
        <v>8977</v>
      </c>
      <c r="N35" s="30">
        <f t="shared" si="9"/>
        <v>4504</v>
      </c>
      <c r="O35" s="8">
        <f t="shared" si="9"/>
        <v>16559</v>
      </c>
      <c r="P35" s="8">
        <f t="shared" si="9"/>
        <v>15363</v>
      </c>
    </row>
    <row r="36" spans="1:16" ht="11.25">
      <c r="A36" s="28" t="s">
        <v>29</v>
      </c>
      <c r="C36" s="38">
        <v>5577</v>
      </c>
      <c r="D36" s="29">
        <v>4202</v>
      </c>
      <c r="E36" s="30">
        <v>2981</v>
      </c>
      <c r="F36" s="39">
        <v>1059</v>
      </c>
      <c r="G36" s="40">
        <v>4368</v>
      </c>
      <c r="H36" s="29">
        <f>I36+1125</f>
        <v>3223</v>
      </c>
      <c r="I36" s="29">
        <f>J36+1111</f>
        <v>2098</v>
      </c>
      <c r="J36" s="29">
        <v>987</v>
      </c>
      <c r="K36" s="32">
        <f>958+L36</f>
        <v>4173</v>
      </c>
      <c r="L36" s="30">
        <f>1012+M36</f>
        <v>3215</v>
      </c>
      <c r="M36" s="30">
        <f>1079+N36</f>
        <v>2203</v>
      </c>
      <c r="N36" s="30">
        <v>1124</v>
      </c>
      <c r="O36" s="8">
        <v>4346</v>
      </c>
      <c r="P36" s="8">
        <v>4411</v>
      </c>
    </row>
    <row r="37" spans="1:16" ht="11.25">
      <c r="A37" s="28" t="s">
        <v>30</v>
      </c>
      <c r="C37" s="41">
        <f aca="true" t="shared" si="10" ref="C37:P37">C35+C36</f>
        <v>20801</v>
      </c>
      <c r="D37" s="30">
        <f t="shared" si="10"/>
        <v>15706</v>
      </c>
      <c r="E37" s="30">
        <f t="shared" si="10"/>
        <v>10764</v>
      </c>
      <c r="F37" s="31">
        <f t="shared" si="10"/>
        <v>5071</v>
      </c>
      <c r="G37" s="29">
        <f t="shared" si="10"/>
        <v>22275</v>
      </c>
      <c r="H37" s="29">
        <f t="shared" si="10"/>
        <v>16801</v>
      </c>
      <c r="I37" s="29">
        <f t="shared" si="10"/>
        <v>11435</v>
      </c>
      <c r="J37" s="29">
        <f t="shared" si="10"/>
        <v>5755</v>
      </c>
      <c r="K37" s="32">
        <f t="shared" si="10"/>
        <v>22442</v>
      </c>
      <c r="L37" s="30">
        <f t="shared" si="10"/>
        <v>16820</v>
      </c>
      <c r="M37" s="30">
        <f t="shared" si="10"/>
        <v>11180</v>
      </c>
      <c r="N37" s="30">
        <f t="shared" si="10"/>
        <v>5628</v>
      </c>
      <c r="O37" s="8">
        <f t="shared" si="10"/>
        <v>20905</v>
      </c>
      <c r="P37" s="8">
        <f t="shared" si="10"/>
        <v>19774</v>
      </c>
    </row>
    <row r="38" spans="1:16" ht="11.25">
      <c r="A38" s="28" t="s">
        <v>31</v>
      </c>
      <c r="C38" s="38">
        <v>13446</v>
      </c>
      <c r="D38" s="29">
        <v>9841</v>
      </c>
      <c r="E38" s="30">
        <v>6457</v>
      </c>
      <c r="F38" s="39">
        <v>3050</v>
      </c>
      <c r="G38" s="40">
        <v>13268</v>
      </c>
      <c r="H38" s="29">
        <f>I38+3333</f>
        <v>9513</v>
      </c>
      <c r="I38" s="29">
        <f>J38+3260</f>
        <v>6180</v>
      </c>
      <c r="J38" s="29">
        <v>2920</v>
      </c>
      <c r="K38" s="32">
        <f>3425+L38</f>
        <v>11709</v>
      </c>
      <c r="L38" s="30">
        <f>2955+M38</f>
        <v>8284</v>
      </c>
      <c r="M38" s="30">
        <f>2684+N38</f>
        <v>5329</v>
      </c>
      <c r="N38" s="30">
        <v>2645</v>
      </c>
      <c r="O38" s="8">
        <v>11579</v>
      </c>
      <c r="P38" s="8">
        <v>10384</v>
      </c>
    </row>
    <row r="39" spans="1:16" ht="11.25">
      <c r="A39" s="28" t="s">
        <v>32</v>
      </c>
      <c r="C39" s="41">
        <f aca="true" t="shared" si="11" ref="C39:P39">C37-C38</f>
        <v>7355</v>
      </c>
      <c r="D39" s="30">
        <f t="shared" si="11"/>
        <v>5865</v>
      </c>
      <c r="E39" s="30">
        <f t="shared" si="11"/>
        <v>4307</v>
      </c>
      <c r="F39" s="31">
        <f t="shared" si="11"/>
        <v>2021</v>
      </c>
      <c r="G39" s="29">
        <f t="shared" si="11"/>
        <v>9007</v>
      </c>
      <c r="H39" s="29">
        <f t="shared" si="11"/>
        <v>7288</v>
      </c>
      <c r="I39" s="29">
        <f t="shared" si="11"/>
        <v>5255</v>
      </c>
      <c r="J39" s="29">
        <f t="shared" si="11"/>
        <v>2835</v>
      </c>
      <c r="K39" s="32">
        <f t="shared" si="11"/>
        <v>10733</v>
      </c>
      <c r="L39" s="30">
        <f t="shared" si="11"/>
        <v>8536</v>
      </c>
      <c r="M39" s="30">
        <f t="shared" si="11"/>
        <v>5851</v>
      </c>
      <c r="N39" s="30">
        <f t="shared" si="11"/>
        <v>2983</v>
      </c>
      <c r="O39" s="8">
        <f t="shared" si="11"/>
        <v>9326</v>
      </c>
      <c r="P39" s="8">
        <f t="shared" si="11"/>
        <v>9390</v>
      </c>
    </row>
    <row r="40" spans="1:16" ht="11.25">
      <c r="A40" s="14" t="s">
        <v>33</v>
      </c>
      <c r="B40" s="14"/>
      <c r="C40" s="42">
        <v>1441</v>
      </c>
      <c r="D40" s="33">
        <v>2301</v>
      </c>
      <c r="E40" s="33">
        <v>1887</v>
      </c>
      <c r="F40" s="43">
        <v>177</v>
      </c>
      <c r="G40" s="44">
        <v>8361</v>
      </c>
      <c r="H40" s="33">
        <f>I40+1908</f>
        <v>6837</v>
      </c>
      <c r="I40" s="33">
        <f>J40+2269</f>
        <v>4929</v>
      </c>
      <c r="J40" s="33">
        <v>2660</v>
      </c>
      <c r="K40" s="35">
        <f>2172+L40</f>
        <v>9854</v>
      </c>
      <c r="L40" s="33">
        <f>2917+M40</f>
        <v>7682</v>
      </c>
      <c r="M40" s="33">
        <f>2286+N40</f>
        <v>4765</v>
      </c>
      <c r="N40" s="33">
        <v>2479</v>
      </c>
      <c r="O40" s="9">
        <v>6646</v>
      </c>
      <c r="P40" s="9">
        <v>8372</v>
      </c>
    </row>
    <row r="41" spans="1:16" ht="11.25">
      <c r="A41" s="22" t="s">
        <v>34</v>
      </c>
      <c r="E41" s="30"/>
      <c r="F41" s="36"/>
      <c r="H41" s="29"/>
      <c r="I41" s="29"/>
      <c r="K41" s="32"/>
      <c r="L41" s="30"/>
      <c r="M41" s="30"/>
      <c r="N41" s="30"/>
      <c r="O41" s="8"/>
      <c r="P41" s="8"/>
    </row>
    <row r="42" spans="1:16" ht="11.25">
      <c r="A42" s="28" t="s">
        <v>35</v>
      </c>
      <c r="C42" s="29">
        <v>3915</v>
      </c>
      <c r="D42" s="29">
        <v>3858</v>
      </c>
      <c r="E42" s="30">
        <v>1702</v>
      </c>
      <c r="F42" s="31">
        <v>715</v>
      </c>
      <c r="G42" s="29">
        <v>2910</v>
      </c>
      <c r="H42" s="29">
        <v>5274</v>
      </c>
      <c r="I42" s="29">
        <v>8539</v>
      </c>
      <c r="J42" s="29">
        <v>4351</v>
      </c>
      <c r="K42" s="32">
        <v>3095</v>
      </c>
      <c r="L42" s="30">
        <v>2103</v>
      </c>
      <c r="M42" s="30">
        <v>4628</v>
      </c>
      <c r="N42" s="30">
        <v>4672</v>
      </c>
      <c r="O42" s="8">
        <v>4572</v>
      </c>
      <c r="P42" s="8">
        <v>1441</v>
      </c>
    </row>
    <row r="43" spans="1:16" ht="11.25">
      <c r="A43" s="28" t="s">
        <v>36</v>
      </c>
      <c r="C43" s="29">
        <v>8278</v>
      </c>
      <c r="D43" s="29">
        <v>7130</v>
      </c>
      <c r="E43" s="30">
        <v>6955</v>
      </c>
      <c r="F43" s="31">
        <v>7491</v>
      </c>
      <c r="G43" s="29">
        <v>5646</v>
      </c>
      <c r="H43" s="29">
        <v>7361</v>
      </c>
      <c r="I43" s="29">
        <v>7372</v>
      </c>
      <c r="J43" s="29">
        <v>7222</v>
      </c>
      <c r="K43" s="32">
        <v>7128</v>
      </c>
      <c r="L43" s="30">
        <v>7103</v>
      </c>
      <c r="M43" s="30">
        <v>7459</v>
      </c>
      <c r="N43" s="30">
        <v>6877</v>
      </c>
      <c r="O43" s="8">
        <v>6375</v>
      </c>
      <c r="P43" s="8">
        <v>5373</v>
      </c>
    </row>
    <row r="44" spans="1:16" ht="11.25">
      <c r="A44" s="28" t="s">
        <v>37</v>
      </c>
      <c r="C44" s="45">
        <f aca="true" t="shared" si="12" ref="C44:P44">C42/C12</f>
        <v>0.011234020574183275</v>
      </c>
      <c r="D44" s="45">
        <f t="shared" si="12"/>
        <v>0.01138650973077309</v>
      </c>
      <c r="E44" s="45">
        <f t="shared" si="12"/>
        <v>0.004604081455993421</v>
      </c>
      <c r="F44" s="46">
        <f t="shared" si="12"/>
        <v>0.0019955288988866902</v>
      </c>
      <c r="G44" s="47">
        <f t="shared" si="12"/>
        <v>0.007405748489583599</v>
      </c>
      <c r="H44" s="47">
        <f t="shared" si="12"/>
        <v>0.013416740652927693</v>
      </c>
      <c r="I44" s="47">
        <f t="shared" si="12"/>
        <v>0.023075509531247467</v>
      </c>
      <c r="J44" s="47">
        <f t="shared" si="12"/>
        <v>0.010438032727106979</v>
      </c>
      <c r="K44" s="48">
        <f t="shared" si="12"/>
        <v>0.007838479208402242</v>
      </c>
      <c r="L44" s="45">
        <f t="shared" si="12"/>
        <v>0.005562476690762797</v>
      </c>
      <c r="M44" s="45">
        <f t="shared" si="12"/>
        <v>0.012243094741130502</v>
      </c>
      <c r="N44" s="45">
        <f t="shared" si="12"/>
        <v>0.01263905120547115</v>
      </c>
      <c r="O44" s="10">
        <f t="shared" si="12"/>
        <v>0.011823210420561836</v>
      </c>
      <c r="P44" s="10">
        <f t="shared" si="12"/>
        <v>0.00392714746288832</v>
      </c>
    </row>
    <row r="45" spans="1:16" ht="11.25">
      <c r="A45" s="28" t="s">
        <v>38</v>
      </c>
      <c r="C45" s="45">
        <f aca="true" t="shared" si="13" ref="C45:P45">C43/C42</f>
        <v>2.114431673052363</v>
      </c>
      <c r="D45" s="45">
        <f t="shared" si="13"/>
        <v>1.8481078278900984</v>
      </c>
      <c r="E45" s="45">
        <f t="shared" si="13"/>
        <v>4.086368977673326</v>
      </c>
      <c r="F45" s="46">
        <f t="shared" si="13"/>
        <v>10.476923076923077</v>
      </c>
      <c r="G45" s="47">
        <f t="shared" si="13"/>
        <v>1.9402061855670103</v>
      </c>
      <c r="H45" s="47">
        <f t="shared" si="13"/>
        <v>1.3957148274554418</v>
      </c>
      <c r="I45" s="47">
        <f t="shared" si="13"/>
        <v>0.8633329429675606</v>
      </c>
      <c r="J45" s="47">
        <f t="shared" si="13"/>
        <v>1.6598483107331647</v>
      </c>
      <c r="K45" s="48">
        <f t="shared" si="13"/>
        <v>2.303069466882068</v>
      </c>
      <c r="L45" s="45">
        <f t="shared" si="13"/>
        <v>3.377555872563005</v>
      </c>
      <c r="M45" s="45">
        <f t="shared" si="13"/>
        <v>1.6117113223854798</v>
      </c>
      <c r="N45" s="45">
        <f t="shared" si="13"/>
        <v>1.471960616438356</v>
      </c>
      <c r="O45" s="10">
        <f t="shared" si="13"/>
        <v>1.3943569553805775</v>
      </c>
      <c r="P45" s="10">
        <f t="shared" si="13"/>
        <v>3.7286606523247743</v>
      </c>
    </row>
    <row r="46" spans="1:16" ht="11.25">
      <c r="A46" s="14" t="s">
        <v>39</v>
      </c>
      <c r="B46" s="14"/>
      <c r="C46" s="49">
        <f aca="true" t="shared" si="14" ref="C46:P46">C43/C12</f>
        <v>0.023753568917775005</v>
      </c>
      <c r="D46" s="49">
        <f t="shared" si="14"/>
        <v>0.021043497765788528</v>
      </c>
      <c r="E46" s="49">
        <f t="shared" si="14"/>
        <v>0.018813975632452552</v>
      </c>
      <c r="F46" s="50">
        <f t="shared" si="14"/>
        <v>0.02090700277141286</v>
      </c>
      <c r="G46" s="49">
        <f t="shared" si="14"/>
        <v>0.014368679028243642</v>
      </c>
      <c r="H46" s="49">
        <f t="shared" si="14"/>
        <v>0.018725943865415387</v>
      </c>
      <c r="I46" s="49">
        <f t="shared" si="14"/>
        <v>0.01992184755408787</v>
      </c>
      <c r="J46" s="49">
        <f t="shared" si="14"/>
        <v>0.017325550989466008</v>
      </c>
      <c r="K46" s="51">
        <f t="shared" si="14"/>
        <v>0.018052562131661124</v>
      </c>
      <c r="L46" s="49">
        <f t="shared" si="14"/>
        <v>0.01878757581288072</v>
      </c>
      <c r="M46" s="49">
        <f t="shared" si="14"/>
        <v>0.019732334415318152</v>
      </c>
      <c r="N46" s="49">
        <f t="shared" si="14"/>
        <v>0.018604185603601265</v>
      </c>
      <c r="O46" s="11">
        <f t="shared" si="14"/>
        <v>0.016485775684838517</v>
      </c>
      <c r="P46" s="11">
        <f t="shared" si="14"/>
        <v>0.014643000220748747</v>
      </c>
    </row>
    <row r="47" spans="1:16" ht="11.25">
      <c r="A47" s="22" t="s">
        <v>40</v>
      </c>
      <c r="E47" s="15"/>
      <c r="F47" s="36"/>
      <c r="K47" s="37"/>
      <c r="L47" s="15"/>
      <c r="M47" s="15"/>
      <c r="N47" s="15"/>
      <c r="O47" s="7"/>
      <c r="P47" s="7"/>
    </row>
    <row r="48" spans="1:16" ht="11.25">
      <c r="A48" s="28" t="s">
        <v>41</v>
      </c>
      <c r="C48" s="45">
        <f aca="true" t="shared" si="15" ref="C48:P48">C25/(C12+C15)</f>
        <v>0.23624117814655837</v>
      </c>
      <c r="D48" s="45">
        <f t="shared" si="15"/>
        <v>0.23952530026612098</v>
      </c>
      <c r="E48" s="45">
        <f t="shared" si="15"/>
        <v>0.2271205444389103</v>
      </c>
      <c r="F48" s="46">
        <f t="shared" si="15"/>
        <v>0.23012862205207377</v>
      </c>
      <c r="G48" s="47">
        <f t="shared" si="15"/>
        <v>0.21774182939182524</v>
      </c>
      <c r="H48" s="47">
        <f t="shared" si="15"/>
        <v>0.23624006031754383</v>
      </c>
      <c r="I48" s="47">
        <f t="shared" si="15"/>
        <v>0.24704773327048854</v>
      </c>
      <c r="J48" s="47">
        <f t="shared" si="15"/>
        <v>0.22396190237375188</v>
      </c>
      <c r="K48" s="48">
        <f t="shared" si="15"/>
        <v>0.22728029518966836</v>
      </c>
      <c r="L48" s="45">
        <f t="shared" si="15"/>
        <v>0.23165890150272328</v>
      </c>
      <c r="M48" s="45">
        <f t="shared" si="15"/>
        <v>0.2283013524544323</v>
      </c>
      <c r="N48" s="45">
        <f t="shared" si="15"/>
        <v>0.22191547092906147</v>
      </c>
      <c r="O48" s="10">
        <f t="shared" si="15"/>
        <v>0.20747352585737988</v>
      </c>
      <c r="P48" s="10">
        <f t="shared" si="15"/>
        <v>0.20647753490008994</v>
      </c>
    </row>
    <row r="49" spans="1:16" ht="11.25">
      <c r="A49" s="14" t="s">
        <v>42</v>
      </c>
      <c r="B49" s="14"/>
      <c r="C49" s="49">
        <f>C25/C10</f>
        <v>0.17939632545931758</v>
      </c>
      <c r="D49" s="49">
        <f>D25/D10</f>
        <v>0.18599603833376765</v>
      </c>
      <c r="E49" s="49">
        <f>E25/E10</f>
        <v>0.18535064935064935</v>
      </c>
      <c r="F49" s="50">
        <f>F25/F12</f>
        <v>0.27749015492560725</v>
      </c>
      <c r="G49" s="49">
        <f>G25/G12</f>
        <v>0.25273452809349056</v>
      </c>
      <c r="H49" s="49">
        <f aca="true" t="shared" si="16" ref="H49:P49">H25/H10</f>
        <v>0.18434775767381642</v>
      </c>
      <c r="I49" s="49">
        <f t="shared" si="16"/>
        <v>0.17923017544334827</v>
      </c>
      <c r="J49" s="49">
        <f t="shared" si="16"/>
        <v>0.17940135479581093</v>
      </c>
      <c r="K49" s="51">
        <f t="shared" si="16"/>
        <v>0.17963687448874346</v>
      </c>
      <c r="L49" s="49">
        <f t="shared" si="16"/>
        <v>0.1767526942863427</v>
      </c>
      <c r="M49" s="49">
        <f t="shared" si="16"/>
        <v>0.1842914637543344</v>
      </c>
      <c r="N49" s="49">
        <f t="shared" si="16"/>
        <v>0.154272836152347</v>
      </c>
      <c r="O49" s="11">
        <f t="shared" si="16"/>
        <v>0.14688125854949077</v>
      </c>
      <c r="P49" s="11">
        <f t="shared" si="16"/>
        <v>0.14399470953578902</v>
      </c>
    </row>
    <row r="50" spans="1:16" ht="11.25">
      <c r="A50" s="22" t="s">
        <v>43</v>
      </c>
      <c r="E50" s="15"/>
      <c r="F50" s="36"/>
      <c r="J50" s="52"/>
      <c r="K50" s="53"/>
      <c r="L50" s="54"/>
      <c r="M50" s="54"/>
      <c r="N50" s="54"/>
      <c r="O50" s="12"/>
      <c r="P50" s="12"/>
    </row>
    <row r="51" spans="1:16" ht="11.25">
      <c r="A51" s="28" t="s">
        <v>44</v>
      </c>
      <c r="C51" s="54">
        <f aca="true" t="shared" si="17" ref="C51:P51">C11/C16</f>
        <v>0.3044771410023975</v>
      </c>
      <c r="D51" s="54">
        <f t="shared" si="17"/>
        <v>0.25714615503001076</v>
      </c>
      <c r="E51" s="54">
        <f t="shared" si="17"/>
        <v>0.19883500543327184</v>
      </c>
      <c r="F51" s="55">
        <f t="shared" si="17"/>
        <v>0.18381373971813958</v>
      </c>
      <c r="G51" s="52">
        <f t="shared" si="17"/>
        <v>0.31087531598529805</v>
      </c>
      <c r="H51" s="52">
        <f t="shared" si="17"/>
        <v>0.2619889086007236</v>
      </c>
      <c r="I51" s="52">
        <f t="shared" si="17"/>
        <v>0.35390072984210985</v>
      </c>
      <c r="J51" s="52">
        <f t="shared" si="17"/>
        <v>0.23915963703785562</v>
      </c>
      <c r="K51" s="53">
        <f t="shared" si="17"/>
        <v>0.24160923391273367</v>
      </c>
      <c r="L51" s="54">
        <f t="shared" si="17"/>
        <v>0.28204290884448613</v>
      </c>
      <c r="M51" s="54">
        <f t="shared" si="17"/>
        <v>0.21582603328604996</v>
      </c>
      <c r="N51" s="54">
        <f t="shared" si="17"/>
        <v>0.3520472081914889</v>
      </c>
      <c r="O51" s="12">
        <f t="shared" si="17"/>
        <v>0.34523700509008715</v>
      </c>
      <c r="P51" s="12">
        <f t="shared" si="17"/>
        <v>0.3463614020089763</v>
      </c>
    </row>
    <row r="52" spans="1:16" ht="11.25">
      <c r="A52" s="28" t="s">
        <v>45</v>
      </c>
      <c r="C52" s="54">
        <f aca="true" t="shared" si="18" ref="C52:P52">C11/C10</f>
        <v>0.20878023692984324</v>
      </c>
      <c r="D52" s="54">
        <f t="shared" si="18"/>
        <v>0.18268675320131425</v>
      </c>
      <c r="E52" s="54">
        <f t="shared" si="18"/>
        <v>0.1434149008885851</v>
      </c>
      <c r="F52" s="55">
        <f t="shared" si="18"/>
        <v>0.134645517509891</v>
      </c>
      <c r="G52" s="52">
        <f t="shared" si="18"/>
        <v>0.22524613508580968</v>
      </c>
      <c r="H52" s="52">
        <f t="shared" si="18"/>
        <v>0.1924632664195812</v>
      </c>
      <c r="I52" s="52">
        <f t="shared" si="18"/>
        <v>0.24723901870899156</v>
      </c>
      <c r="J52" s="52">
        <f t="shared" si="18"/>
        <v>0.16863432980550785</v>
      </c>
      <c r="K52" s="53">
        <f t="shared" si="18"/>
        <v>0.18209801899206884</v>
      </c>
      <c r="L52" s="54">
        <f t="shared" si="18"/>
        <v>0.20540591768456778</v>
      </c>
      <c r="M52" s="54">
        <f t="shared" si="18"/>
        <v>0.15316062972461555</v>
      </c>
      <c r="N52" s="54">
        <f t="shared" si="18"/>
        <v>0.26202247413135554</v>
      </c>
      <c r="O52" s="12">
        <f t="shared" si="18"/>
        <v>0.24905139925658704</v>
      </c>
      <c r="P52" s="12">
        <f t="shared" si="18"/>
        <v>0.26517088335753586</v>
      </c>
    </row>
    <row r="53" spans="1:16" ht="11.25">
      <c r="A53" s="14" t="s">
        <v>46</v>
      </c>
      <c r="B53" s="14"/>
      <c r="C53" s="56">
        <f aca="true" t="shared" si="19" ref="C53:P53">(C11+C15)/C16</f>
        <v>0.510612875110241</v>
      </c>
      <c r="D53" s="56">
        <f t="shared" si="19"/>
        <v>0.4810726927615041</v>
      </c>
      <c r="E53" s="56">
        <f t="shared" si="19"/>
        <v>0.39608804427484773</v>
      </c>
      <c r="F53" s="57">
        <f t="shared" si="19"/>
        <v>0.37594155395810913</v>
      </c>
      <c r="G53" s="56">
        <f t="shared" si="19"/>
        <v>0.45353011207171146</v>
      </c>
      <c r="H53" s="56">
        <f t="shared" si="19"/>
        <v>0.40903841945232144</v>
      </c>
      <c r="I53" s="56">
        <f t="shared" si="19"/>
        <v>0.49570866408847275</v>
      </c>
      <c r="J53" s="56">
        <f t="shared" si="19"/>
        <v>0.3515354673935733</v>
      </c>
      <c r="K53" s="58">
        <f t="shared" si="19"/>
        <v>0.35866823648216617</v>
      </c>
      <c r="L53" s="56">
        <f t="shared" si="19"/>
        <v>0.4014270210812165</v>
      </c>
      <c r="M53" s="56">
        <f t="shared" si="19"/>
        <v>0.3300370326255265</v>
      </c>
      <c r="N53" s="56">
        <f t="shared" si="19"/>
        <v>0.46789187801304155</v>
      </c>
      <c r="O53" s="13">
        <f t="shared" si="19"/>
        <v>0.4629276823463984</v>
      </c>
      <c r="P53" s="13">
        <f t="shared" si="19"/>
        <v>0.44038745814632757</v>
      </c>
    </row>
    <row r="54" spans="1:16" ht="11.25">
      <c r="A54" s="22" t="s">
        <v>47</v>
      </c>
      <c r="E54" s="15"/>
      <c r="F54" s="36"/>
      <c r="K54" s="37"/>
      <c r="L54" s="15"/>
      <c r="M54" s="15"/>
      <c r="N54" s="15"/>
      <c r="O54" s="7"/>
      <c r="P54" s="7"/>
    </row>
    <row r="55" spans="1:16" ht="11.25">
      <c r="A55" s="28" t="s">
        <v>48</v>
      </c>
      <c r="B55" s="15"/>
      <c r="C55" s="45">
        <f>(C40)/C28</f>
        <v>0.003259133943393751</v>
      </c>
      <c r="D55" s="45">
        <f>(D40/0.75)/D28</f>
        <v>0.006953967365312215</v>
      </c>
      <c r="E55" s="45">
        <f>(E40/0.5)/E28</f>
        <v>0.008613527849037312</v>
      </c>
      <c r="F55" s="46">
        <f>((F40)/0.25)/F28</f>
        <v>0.0015827560074309053</v>
      </c>
      <c r="G55" s="59">
        <f>G40/G28</f>
        <v>0.01856873496745308</v>
      </c>
      <c r="H55" s="59">
        <f>(H40/0.75)/H28</f>
        <v>0.020649101188750362</v>
      </c>
      <c r="I55" s="47">
        <f>(I40/0.5)/I28</f>
        <v>0.0232289624491027</v>
      </c>
      <c r="J55" s="47">
        <f>((J40)/0.25)/J28</f>
        <v>0.024056451266468156</v>
      </c>
      <c r="K55" s="60">
        <f>K40/K28</f>
        <v>0.02229787599946145</v>
      </c>
      <c r="L55" s="59">
        <f>(L40/0.75)/L28</f>
        <v>0.025037348654939166</v>
      </c>
      <c r="M55" s="59">
        <f>(M40/0.5)/M28</f>
        <v>0.02314089722576337</v>
      </c>
      <c r="N55" s="45">
        <f>((N40)/0.25)/N28</f>
        <v>0.024410177635984086</v>
      </c>
      <c r="O55" s="10">
        <f>O40/O28</f>
        <v>0.015664202489161037</v>
      </c>
      <c r="P55" s="10">
        <f>P40/P28</f>
        <v>0.020236152907194566</v>
      </c>
    </row>
    <row r="56" spans="1:16" ht="11.25">
      <c r="A56" s="28" t="s">
        <v>49</v>
      </c>
      <c r="B56" s="15"/>
      <c r="C56" s="45">
        <f>(C40)/C27</f>
        <v>0.0024531313174302556</v>
      </c>
      <c r="D56" s="45">
        <f>(D40/0.75)/D27</f>
        <v>0.005413598578489239</v>
      </c>
      <c r="E56" s="45">
        <f>(E40/0.5)/E27</f>
        <v>0.006624789245161964</v>
      </c>
      <c r="F56" s="46">
        <f>((F40)/0.25)/F27</f>
        <v>0.0012855605942994103</v>
      </c>
      <c r="G56" s="59">
        <f>G40/G27</f>
        <v>0.014252291642695508</v>
      </c>
      <c r="H56" s="59">
        <f>(H40/0.75)/H27</f>
        <v>0.0159381496290831</v>
      </c>
      <c r="I56" s="47">
        <f>(I40/0.5)/I27</f>
        <v>0.017741751156552327</v>
      </c>
      <c r="J56" s="47">
        <f>((J40)/0.25)/J27</f>
        <v>0.017965189069263063</v>
      </c>
      <c r="K56" s="60">
        <f>K40/K27</f>
        <v>0.016659467400850895</v>
      </c>
      <c r="L56" s="59">
        <f>(L40/0.75)/L27</f>
        <v>0.01829274645097323</v>
      </c>
      <c r="M56" s="59">
        <f>(M40/0.5)/M27</f>
        <v>0.018494834837049442</v>
      </c>
      <c r="N56" s="45">
        <f>((N40)/0.25)/N27</f>
        <v>0.016621116159241556</v>
      </c>
      <c r="O56" s="10">
        <f>O40/O27</f>
        <v>0.011009080089152678</v>
      </c>
      <c r="P56" s="10">
        <f>P40/P27</f>
        <v>0.014245726877493895</v>
      </c>
    </row>
    <row r="57" spans="1:16" ht="11.25">
      <c r="A57" s="28" t="s">
        <v>50</v>
      </c>
      <c r="B57" s="15"/>
      <c r="C57" s="45">
        <f>(C40)/C31</f>
        <v>0.014376431033536691</v>
      </c>
      <c r="D57" s="45">
        <f>(D40/0.75)/D31</f>
        <v>0.02923965461372777</v>
      </c>
      <c r="E57" s="45">
        <f>(E40/0.5)/E31</f>
        <v>0.03636451232144148</v>
      </c>
      <c r="F57" s="46">
        <f>((F40)/0.25)/F31</f>
        <v>0.006974338767669803</v>
      </c>
      <c r="G57" s="59">
        <f>+G40/G31</f>
        <v>0.0834739374819045</v>
      </c>
      <c r="H57" s="59">
        <f>(H40/0.75)/H31</f>
        <v>0.08823415540671338</v>
      </c>
      <c r="I57" s="47">
        <f>(I40/0.5)/I31</f>
        <v>0.0976963366351352</v>
      </c>
      <c r="J57" s="47">
        <f>((J40)/0.25)/J31</f>
        <v>0.10788339670468948</v>
      </c>
      <c r="K57" s="60">
        <f>+K40/K31</f>
        <v>0.10255022661164852</v>
      </c>
      <c r="L57" s="59">
        <f>(L40/0.75)/L31</f>
        <v>0.10900164595039445</v>
      </c>
      <c r="M57" s="59">
        <f>(M40/0.5)/M31</f>
        <v>0.10350538977436259</v>
      </c>
      <c r="N57" s="45">
        <f>((N40)/0.25)/N31</f>
        <v>0.11009520637299802</v>
      </c>
      <c r="O57" s="10">
        <f>O40/O31</f>
        <v>0.07567493708937294</v>
      </c>
      <c r="P57" s="10">
        <f>P40/P31</f>
        <v>0.10332995976401471</v>
      </c>
    </row>
    <row r="58" spans="1:16" ht="11.25">
      <c r="A58" s="28" t="s">
        <v>51</v>
      </c>
      <c r="B58" s="15"/>
      <c r="C58" s="45">
        <f>(C33)/C28</f>
        <v>0.060779116211533854</v>
      </c>
      <c r="D58" s="45">
        <f>(D33/0.75)/D28</f>
        <v>0.0621354059238675</v>
      </c>
      <c r="E58" s="45">
        <f>(E33/0.5)/E28</f>
        <v>0.06411532176342241</v>
      </c>
      <c r="F58" s="46">
        <f>((F33)/0.25)/F28</f>
        <v>0.06552788713250664</v>
      </c>
      <c r="G58" s="59">
        <f>G33/G28</f>
        <v>0.08326948318020401</v>
      </c>
      <c r="H58" s="59">
        <f>(H33/0.75)/H28</f>
        <v>0.0881263892915821</v>
      </c>
      <c r="I58" s="47">
        <f>(I33/0.5)/I28</f>
        <v>0.09598853868194843</v>
      </c>
      <c r="J58" s="47">
        <f>((J33)/0.25)/J28</f>
        <v>0.093793028603211</v>
      </c>
      <c r="K58" s="60">
        <f>K33/K28</f>
        <v>0.09501601514282385</v>
      </c>
      <c r="L58" s="59">
        <f>(L33/0.75)/L28</f>
        <v>0.10077516537499596</v>
      </c>
      <c r="M58" s="59">
        <f>(M33/0.5)/M28</f>
        <v>0.0987458265039762</v>
      </c>
      <c r="N58" s="45">
        <f>((N33)/0.25)/N28</f>
        <v>0.10138248847926268</v>
      </c>
      <c r="O58" s="10">
        <f>O33/O28</f>
        <v>0.08675884646795332</v>
      </c>
      <c r="P58" s="10">
        <f>P33/P27</f>
        <v>0.062307188374724556</v>
      </c>
    </row>
    <row r="59" spans="1:16" ht="11.25">
      <c r="A59" s="28" t="s">
        <v>52</v>
      </c>
      <c r="B59" s="15"/>
      <c r="C59" s="45">
        <f>(C34)/C28</f>
        <v>0.02634673928285483</v>
      </c>
      <c r="D59" s="45">
        <f>(D34/0.75)/D28</f>
        <v>0.027368591247400004</v>
      </c>
      <c r="E59" s="45">
        <f>(E34/0.5)/E28</f>
        <v>0.028588513470334226</v>
      </c>
      <c r="F59" s="46">
        <f>((F34)/0.25)/F28</f>
        <v>0.029652084297406112</v>
      </c>
      <c r="G59" s="59">
        <f>G34/G28</f>
        <v>0.04350027649892398</v>
      </c>
      <c r="H59" s="59">
        <f>(H34/0.75)/H28</f>
        <v>0.047118126026867685</v>
      </c>
      <c r="I59" s="47">
        <f>(I34/0.5)/I28</f>
        <v>0.051985937264364346</v>
      </c>
      <c r="J59" s="47">
        <f>((J34)/0.25)/J28</f>
        <v>0.050672291897000406</v>
      </c>
      <c r="K59" s="60">
        <f>K34/K28</f>
        <v>0.0536764680924726</v>
      </c>
      <c r="L59" s="59">
        <f>(L34/0.75)/L28</f>
        <v>0.05643344076546104</v>
      </c>
      <c r="M59" s="59">
        <f>(M34/0.5)/M28</f>
        <v>0.055149638802889575</v>
      </c>
      <c r="N59" s="45">
        <f>((N34)/0.25)/N28</f>
        <v>0.05703257316160542</v>
      </c>
      <c r="O59" s="10">
        <f>O34/O28</f>
        <v>0.04773032871020165</v>
      </c>
      <c r="P59" s="10">
        <f>P34/P27</f>
        <v>0.036165632949624375</v>
      </c>
    </row>
    <row r="60" spans="1:16" ht="11.25">
      <c r="A60" s="28" t="s">
        <v>53</v>
      </c>
      <c r="B60" s="15"/>
      <c r="C60" s="45">
        <f>(C35)/C28</f>
        <v>0.03443237692867902</v>
      </c>
      <c r="D60" s="45">
        <f>(D35/0.75)/D28</f>
        <v>0.0347668146764675</v>
      </c>
      <c r="E60" s="45">
        <f>(E35/0.5)/E28</f>
        <v>0.03552680829308818</v>
      </c>
      <c r="F60" s="46">
        <f>((F35)/0.25)/F28</f>
        <v>0.03587580283510052</v>
      </c>
      <c r="G60" s="59">
        <f>G35/G28</f>
        <v>0.03976920668128003</v>
      </c>
      <c r="H60" s="59">
        <f>(H35/0.75)/H28</f>
        <v>0.04100826326471441</v>
      </c>
      <c r="I60" s="47">
        <f>(I35/0.5)/I28</f>
        <v>0.044002601417584074</v>
      </c>
      <c r="J60" s="47">
        <f>((J35)/0.25)/J28</f>
        <v>0.04312073670621059</v>
      </c>
      <c r="K60" s="60">
        <f>K35/K28</f>
        <v>0.04133954705035125</v>
      </c>
      <c r="L60" s="59">
        <f>(L35/0.75)/L28</f>
        <v>0.044341724609534935</v>
      </c>
      <c r="M60" s="59">
        <f>(M35/0.5)/M28</f>
        <v>0.04359618770108663</v>
      </c>
      <c r="N60" s="45">
        <f>((N35)/0.25)/N28</f>
        <v>0.04434991531765725</v>
      </c>
      <c r="O60" s="10">
        <f>O35/O28</f>
        <v>0.03902851775775167</v>
      </c>
      <c r="P60" s="10">
        <f>P35/P27</f>
        <v>0.02614155542510018</v>
      </c>
    </row>
    <row r="61" spans="1:16" ht="11.25">
      <c r="A61" s="28" t="s">
        <v>54</v>
      </c>
      <c r="B61" s="15"/>
      <c r="C61" s="45">
        <f>(C38)/(C37)</f>
        <v>0.6464112302293159</v>
      </c>
      <c r="D61" s="45">
        <f>(D38/0.75)/(D37/0.75)</f>
        <v>0.6265758308926526</v>
      </c>
      <c r="E61" s="45">
        <f>(E38/0.5)/(E37/0.5)</f>
        <v>0.5998699368264586</v>
      </c>
      <c r="F61" s="46">
        <f>(F38/0.25)/(F37/0.25)</f>
        <v>0.6014592782488661</v>
      </c>
      <c r="G61" s="59">
        <f>G38/G37</f>
        <v>0.5956453423120089</v>
      </c>
      <c r="H61" s="59">
        <f>(H38/0.75)/(H37/0.75)</f>
        <v>0.566216296649009</v>
      </c>
      <c r="I61" s="47">
        <f>(I38/0.5)/(I37/0.5)</f>
        <v>0.540445999125492</v>
      </c>
      <c r="J61" s="47">
        <f>(J38/0.25)/(J37/0.25)</f>
        <v>0.5073848827106864</v>
      </c>
      <c r="K61" s="60">
        <f>K38/K37</f>
        <v>0.5217449425184921</v>
      </c>
      <c r="L61" s="59">
        <f>(L38/0.75)/(L37/0.75)</f>
        <v>0.4925089179548157</v>
      </c>
      <c r="M61" s="59">
        <f>(M38/0.5)/(M37/0.5)</f>
        <v>0.476654740608229</v>
      </c>
      <c r="N61" s="45">
        <f>(N38/0.25)/(N37/0.25)</f>
        <v>0.46997157071783935</v>
      </c>
      <c r="O61" s="10">
        <f>O38/O37</f>
        <v>0.5538866299928247</v>
      </c>
      <c r="P61" s="10">
        <f>P38/P37</f>
        <v>0.5251340143622939</v>
      </c>
    </row>
    <row r="62" spans="1:16" ht="11.25">
      <c r="A62" s="14" t="s">
        <v>55</v>
      </c>
      <c r="B62" s="14"/>
      <c r="C62" s="49">
        <f>(C36)/C28</f>
        <v>0.01261359472748574</v>
      </c>
      <c r="D62" s="49">
        <f>(D36/0.75)/D28</f>
        <v>0.012699074693195101</v>
      </c>
      <c r="E62" s="49">
        <f>(E36/0.5)/E28</f>
        <v>0.01360727425436154</v>
      </c>
      <c r="F62" s="50">
        <f>(F36/0.25)/F28</f>
        <v>0.009469709671578128</v>
      </c>
      <c r="G62" s="61">
        <f>G36/G28</f>
        <v>0.009700781525874303</v>
      </c>
      <c r="H62" s="61">
        <f>(H36/0.75)/H28</f>
        <v>0.009734101671982217</v>
      </c>
      <c r="I62" s="49">
        <f>(I36/0.5)/I28</f>
        <v>0.009887271904690091</v>
      </c>
      <c r="J62" s="49">
        <f>(J36/0.25)/J28</f>
        <v>0.00892620954887371</v>
      </c>
      <c r="K62" s="62">
        <f>K36/K28</f>
        <v>0.009442768068373516</v>
      </c>
      <c r="L62" s="61">
        <f>(L36/0.75)/L28</f>
        <v>0.010478400927574776</v>
      </c>
      <c r="M62" s="61">
        <f>(M36/0.5)/M28</f>
        <v>0.010698719116129424</v>
      </c>
      <c r="N62" s="49">
        <f>(N36/0.25)/N28</f>
        <v>0.01106778526133365</v>
      </c>
      <c r="O62" s="11">
        <f>O36/O28</f>
        <v>0.010243247670462514</v>
      </c>
      <c r="P62" s="11">
        <f>P36/P27</f>
        <v>0.007505721602559194</v>
      </c>
    </row>
    <row r="63" spans="1:16" ht="11.25">
      <c r="A63" s="22" t="s">
        <v>56</v>
      </c>
      <c r="E63" s="15"/>
      <c r="F63" s="36"/>
      <c r="K63" s="37"/>
      <c r="L63" s="15"/>
      <c r="M63" s="15"/>
      <c r="N63" s="15"/>
      <c r="O63" s="7"/>
      <c r="P63" s="7"/>
    </row>
    <row r="64" spans="1:16" ht="11.25">
      <c r="A64" s="28" t="s">
        <v>57</v>
      </c>
      <c r="C64" s="29">
        <v>59</v>
      </c>
      <c r="D64" s="29">
        <v>59</v>
      </c>
      <c r="E64" s="15">
        <v>59</v>
      </c>
      <c r="F64" s="36">
        <v>58</v>
      </c>
      <c r="G64" s="28">
        <v>55</v>
      </c>
      <c r="H64" s="29">
        <v>57</v>
      </c>
      <c r="I64" s="29">
        <v>58</v>
      </c>
      <c r="J64" s="29">
        <v>56</v>
      </c>
      <c r="K64" s="32">
        <v>53</v>
      </c>
      <c r="L64" s="30">
        <v>52</v>
      </c>
      <c r="M64" s="30">
        <v>52</v>
      </c>
      <c r="N64" s="30">
        <v>52</v>
      </c>
      <c r="O64" s="8">
        <v>52</v>
      </c>
      <c r="P64" s="8">
        <v>50</v>
      </c>
    </row>
    <row r="65" spans="1:16" ht="11.25">
      <c r="A65" s="28" t="s">
        <v>58</v>
      </c>
      <c r="C65" s="29">
        <v>1</v>
      </c>
      <c r="D65" s="29">
        <v>1</v>
      </c>
      <c r="E65" s="15">
        <v>1</v>
      </c>
      <c r="F65" s="36">
        <v>1</v>
      </c>
      <c r="G65" s="28">
        <v>1</v>
      </c>
      <c r="H65" s="29">
        <v>1</v>
      </c>
      <c r="I65" s="29">
        <v>1</v>
      </c>
      <c r="J65" s="29">
        <v>1</v>
      </c>
      <c r="K65" s="32">
        <v>1</v>
      </c>
      <c r="L65" s="30">
        <v>1</v>
      </c>
      <c r="M65" s="30">
        <v>1</v>
      </c>
      <c r="N65" s="30">
        <v>1</v>
      </c>
      <c r="O65" s="8">
        <v>1</v>
      </c>
      <c r="P65" s="8">
        <v>1</v>
      </c>
    </row>
    <row r="66" spans="1:16" ht="11.25">
      <c r="A66" s="28" t="s">
        <v>59</v>
      </c>
      <c r="C66" s="30">
        <f aca="true" t="shared" si="20" ref="C66:P66">C12/C64</f>
        <v>5906.6949152542375</v>
      </c>
      <c r="D66" s="30">
        <f t="shared" si="20"/>
        <v>5742.745762711865</v>
      </c>
      <c r="E66" s="30">
        <f t="shared" si="20"/>
        <v>6265.627118644068</v>
      </c>
      <c r="F66" s="31">
        <f t="shared" si="20"/>
        <v>6177.603448275862</v>
      </c>
      <c r="G66" s="29">
        <f t="shared" si="20"/>
        <v>7144.327272727272</v>
      </c>
      <c r="H66" s="29">
        <f t="shared" si="20"/>
        <v>6896.333333333333</v>
      </c>
      <c r="I66" s="29">
        <f t="shared" si="20"/>
        <v>6380.103448275862</v>
      </c>
      <c r="J66" s="29">
        <f t="shared" si="20"/>
        <v>7443.589285714285</v>
      </c>
      <c r="K66" s="32">
        <f t="shared" si="20"/>
        <v>7449.943396226415</v>
      </c>
      <c r="L66" s="30">
        <f t="shared" si="20"/>
        <v>7270.557692307692</v>
      </c>
      <c r="M66" s="30">
        <f t="shared" si="20"/>
        <v>7269.403846153846</v>
      </c>
      <c r="N66" s="30">
        <f t="shared" si="20"/>
        <v>7108.615384615385</v>
      </c>
      <c r="O66" s="8">
        <f t="shared" si="20"/>
        <v>7436.4807692307695</v>
      </c>
      <c r="P66" s="8">
        <f t="shared" si="20"/>
        <v>7338.66</v>
      </c>
    </row>
    <row r="67" spans="1:16" ht="11.25">
      <c r="A67" s="28" t="s">
        <v>60</v>
      </c>
      <c r="C67" s="30">
        <f aca="true" t="shared" si="21" ref="C67:P67">C16/C64</f>
        <v>6553.440677966101</v>
      </c>
      <c r="D67" s="30">
        <f t="shared" si="21"/>
        <v>6607.796610169492</v>
      </c>
      <c r="E67" s="30">
        <f t="shared" si="21"/>
        <v>6706.949152542373</v>
      </c>
      <c r="F67" s="31">
        <f t="shared" si="21"/>
        <v>6617.362068965517</v>
      </c>
      <c r="G67" s="29">
        <f t="shared" si="21"/>
        <v>8048.418181818181</v>
      </c>
      <c r="H67" s="29">
        <f t="shared" si="21"/>
        <v>7535.473684210527</v>
      </c>
      <c r="I67" s="29">
        <f t="shared" si="21"/>
        <v>7115.379310344828</v>
      </c>
      <c r="J67" s="29">
        <f t="shared" si="21"/>
        <v>7271.517857142857</v>
      </c>
      <c r="K67" s="32">
        <f t="shared" si="21"/>
        <v>7996.773584905661</v>
      </c>
      <c r="L67" s="30">
        <f t="shared" si="21"/>
        <v>7832.346153846154</v>
      </c>
      <c r="M67" s="30">
        <f t="shared" si="21"/>
        <v>7103.923076923077</v>
      </c>
      <c r="N67" s="30">
        <f t="shared" si="21"/>
        <v>8688.192307692309</v>
      </c>
      <c r="O67" s="8">
        <f t="shared" si="21"/>
        <v>8610.25</v>
      </c>
      <c r="P67" s="8">
        <f t="shared" si="21"/>
        <v>8983.68</v>
      </c>
    </row>
    <row r="68" spans="1:16" ht="11.25">
      <c r="A68" s="14" t="s">
        <v>61</v>
      </c>
      <c r="B68" s="14"/>
      <c r="C68" s="33">
        <f aca="true" t="shared" si="22" ref="C68:P68">(C40/C64)</f>
        <v>24.423728813559322</v>
      </c>
      <c r="D68" s="33">
        <f t="shared" si="22"/>
        <v>39</v>
      </c>
      <c r="E68" s="33">
        <f t="shared" si="22"/>
        <v>31.983050847457626</v>
      </c>
      <c r="F68" s="34">
        <f t="shared" si="22"/>
        <v>3.0517241379310347</v>
      </c>
      <c r="G68" s="33">
        <f t="shared" si="22"/>
        <v>152.01818181818183</v>
      </c>
      <c r="H68" s="33">
        <f t="shared" si="22"/>
        <v>119.94736842105263</v>
      </c>
      <c r="I68" s="33">
        <f t="shared" si="22"/>
        <v>84.98275862068965</v>
      </c>
      <c r="J68" s="33">
        <f t="shared" si="22"/>
        <v>47.5</v>
      </c>
      <c r="K68" s="35">
        <f t="shared" si="22"/>
        <v>185.9245283018868</v>
      </c>
      <c r="L68" s="33">
        <f t="shared" si="22"/>
        <v>147.73076923076923</v>
      </c>
      <c r="M68" s="33">
        <f t="shared" si="22"/>
        <v>91.63461538461539</v>
      </c>
      <c r="N68" s="33">
        <f t="shared" si="22"/>
        <v>47.67307692307692</v>
      </c>
      <c r="O68" s="9">
        <f t="shared" si="22"/>
        <v>127.8076923076923</v>
      </c>
      <c r="P68" s="9">
        <f t="shared" si="22"/>
        <v>167.44</v>
      </c>
    </row>
    <row r="69" spans="1:16" ht="11.25">
      <c r="A69" s="22" t="s">
        <v>62</v>
      </c>
      <c r="E69" s="15"/>
      <c r="F69" s="36"/>
      <c r="K69" s="37"/>
      <c r="L69" s="15"/>
      <c r="M69" s="15"/>
      <c r="N69" s="15"/>
      <c r="O69" s="7"/>
      <c r="P69" s="7"/>
    </row>
    <row r="70" spans="1:16" ht="11.25">
      <c r="A70" s="28" t="s">
        <v>63</v>
      </c>
      <c r="C70" s="45">
        <f aca="true" t="shared" si="23" ref="C70:K70">(C10/G10)-1</f>
        <v>-0.0770363944381246</v>
      </c>
      <c r="D70" s="45">
        <f t="shared" si="23"/>
        <v>-0.061441841134426745</v>
      </c>
      <c r="E70" s="45">
        <f t="shared" si="23"/>
        <v>-0.07127936187645156</v>
      </c>
      <c r="F70" s="46">
        <f t="shared" si="23"/>
        <v>-0.09271450933673187</v>
      </c>
      <c r="G70" s="47">
        <f t="shared" si="23"/>
        <v>0.08643347441049909</v>
      </c>
      <c r="H70" s="47">
        <f t="shared" si="23"/>
        <v>0.045497542195733764</v>
      </c>
      <c r="I70" s="47">
        <f t="shared" si="23"/>
        <v>0.13483368392742223</v>
      </c>
      <c r="J70" s="47">
        <f t="shared" si="23"/>
        <v>-0.048607187043355204</v>
      </c>
      <c r="K70" s="48">
        <f t="shared" si="23"/>
        <v>-0.09395135108136454</v>
      </c>
      <c r="L70" s="45">
        <f>(L10/560622)-1</f>
        <v>-0.0024669028329248333</v>
      </c>
      <c r="M70" s="45">
        <f>(M10/510013)-1</f>
        <v>0.020650454008035002</v>
      </c>
      <c r="N70" s="45">
        <f>(N10/586172)-1</f>
        <v>0.035547586715162005</v>
      </c>
      <c r="O70" s="10">
        <f>(O10/P10)-1</f>
        <v>0.05783888627547218</v>
      </c>
      <c r="P70" s="10">
        <f>(P10/588654)-1</f>
        <v>-0.003292256571772234</v>
      </c>
    </row>
    <row r="71" spans="1:16" ht="11.25">
      <c r="A71" s="28" t="s">
        <v>64</v>
      </c>
      <c r="C71" s="45">
        <f aca="true" t="shared" si="24" ref="C71:I73">(C12/G12)-1</f>
        <v>-0.11310435743043434</v>
      </c>
      <c r="D71" s="45">
        <f t="shared" si="24"/>
        <v>-0.13805709110613062</v>
      </c>
      <c r="E71" s="45">
        <f t="shared" si="24"/>
        <v>-0.001010685158061464</v>
      </c>
      <c r="F71" s="46">
        <f t="shared" si="24"/>
        <v>-0.1404372410583412</v>
      </c>
      <c r="G71" s="47">
        <f t="shared" si="24"/>
        <v>-0.004834784106248713</v>
      </c>
      <c r="H71" s="47">
        <f t="shared" si="24"/>
        <v>0.039733487802491085</v>
      </c>
      <c r="I71" s="47">
        <f t="shared" si="24"/>
        <v>-0.021065636003375632</v>
      </c>
      <c r="J71" s="47">
        <f>J12/N12-1</f>
        <v>0.12767010777821053</v>
      </c>
      <c r="K71" s="48">
        <f>(K12/O12)-1</f>
        <v>0.02107593283630327</v>
      </c>
      <c r="L71" s="45">
        <f>L12/341933-1</f>
        <v>0.1056815224035117</v>
      </c>
      <c r="M71" s="45">
        <f>M12/355390-1</f>
        <v>0.06364557246968117</v>
      </c>
      <c r="N71" s="45">
        <f>N12/345323-1</f>
        <v>0.07044129698861656</v>
      </c>
      <c r="O71" s="10">
        <f>(O12/P12)-1</f>
        <v>0.05386269427933721</v>
      </c>
      <c r="P71" s="10">
        <f>P12/371208-1</f>
        <v>-0.011516454386758856</v>
      </c>
    </row>
    <row r="72" spans="2:16" ht="11.25">
      <c r="B72" s="28" t="s">
        <v>15</v>
      </c>
      <c r="C72" s="45">
        <f t="shared" si="24"/>
        <v>0.48374237548628796</v>
      </c>
      <c r="D72" s="45">
        <f t="shared" si="24"/>
        <v>0.6205197017005135</v>
      </c>
      <c r="E72" s="45">
        <f t="shared" si="24"/>
        <v>0.13393586466759766</v>
      </c>
      <c r="F72" s="46">
        <f t="shared" si="24"/>
        <v>0.16406492589978838</v>
      </c>
      <c r="G72" s="47">
        <f t="shared" si="24"/>
        <v>0.2460203470975464</v>
      </c>
      <c r="H72" s="47">
        <f t="shared" si="24"/>
        <v>0.20564353047319783</v>
      </c>
      <c r="I72" s="47">
        <f t="shared" si="24"/>
        <v>0.30223381257935</v>
      </c>
      <c r="J72" s="47">
        <f>(J13/N13)-1</f>
        <v>0.31388621022179364</v>
      </c>
      <c r="K72" s="48">
        <f>(K13/O13)-1</f>
        <v>0.17102911804898557</v>
      </c>
      <c r="L72" s="45">
        <f>(L13/27162)-1</f>
        <v>0.18338119431558786</v>
      </c>
      <c r="M72" s="45">
        <f>(M13/31221)-1</f>
        <v>-0.06655776560648285</v>
      </c>
      <c r="N72" s="45">
        <f>(N13/31249)-1</f>
        <v>-0.13718839002848093</v>
      </c>
      <c r="O72" s="10">
        <f>(O13/P13)-1</f>
        <v>-0.08323160938001928</v>
      </c>
      <c r="P72" s="10">
        <f>(P13/27136)-1</f>
        <v>0.14718455188679247</v>
      </c>
    </row>
    <row r="73" spans="2:16" ht="11.25">
      <c r="B73" s="28" t="s">
        <v>16</v>
      </c>
      <c r="C73" s="45">
        <f t="shared" si="24"/>
        <v>-0.1838535024594644</v>
      </c>
      <c r="D73" s="45">
        <f t="shared" si="24"/>
        <v>-0.22102060744261132</v>
      </c>
      <c r="E73" s="45">
        <f t="shared" si="24"/>
        <v>-0.016432045047350963</v>
      </c>
      <c r="F73" s="46">
        <f t="shared" si="24"/>
        <v>-0.1687186693793653</v>
      </c>
      <c r="G73" s="47">
        <f t="shared" si="24"/>
        <v>-0.028030556654594196</v>
      </c>
      <c r="H73" s="47">
        <f t="shared" si="24"/>
        <v>0.024317339546608308</v>
      </c>
      <c r="I73" s="47">
        <f t="shared" si="24"/>
        <v>-0.048072899050065065</v>
      </c>
      <c r="J73" s="47">
        <f>(J14/N14)-1</f>
        <v>0.11301891527520813</v>
      </c>
      <c r="K73" s="48">
        <f>(K14/O14)-1</f>
        <v>0.009127256685596885</v>
      </c>
      <c r="L73" s="45">
        <f>(L14/314771)-1</f>
        <v>0.0989767164065305</v>
      </c>
      <c r="M73" s="45">
        <f>(M14/324169)-1</f>
        <v>0.07618556987250469</v>
      </c>
      <c r="N73" s="45">
        <f>(N14/314074)-1</f>
        <v>0.09109954978762969</v>
      </c>
      <c r="O73" s="10">
        <f>(O14/P14)-1</f>
        <v>0.06657176975786405</v>
      </c>
      <c r="P73" s="10">
        <f>(P14/344072)-1</f>
        <v>-0.024032760584993818</v>
      </c>
    </row>
    <row r="74" spans="1:16" ht="11.25">
      <c r="A74" s="28" t="s">
        <v>65</v>
      </c>
      <c r="C74" s="45">
        <f aca="true" t="shared" si="25" ref="C74:K75">(C16/G16)-1</f>
        <v>-0.12652966251979492</v>
      </c>
      <c r="D74" s="45">
        <f t="shared" si="25"/>
        <v>-0.09233985686414203</v>
      </c>
      <c r="E74" s="45">
        <f t="shared" si="25"/>
        <v>-0.04114933170500035</v>
      </c>
      <c r="F74" s="46">
        <f t="shared" si="25"/>
        <v>-0.05746000171903587</v>
      </c>
      <c r="G74" s="47">
        <f t="shared" si="25"/>
        <v>0.04443773314237576</v>
      </c>
      <c r="H74" s="47">
        <f t="shared" si="25"/>
        <v>0.05460589959782158</v>
      </c>
      <c r="I74" s="47">
        <f t="shared" si="25"/>
        <v>0.11718335480936859</v>
      </c>
      <c r="J74" s="47">
        <f t="shared" si="25"/>
        <v>-0.09867724984837956</v>
      </c>
      <c r="K74" s="48">
        <f t="shared" si="25"/>
        <v>-0.05338896172495666</v>
      </c>
      <c r="L74" s="45">
        <f>L16/429006-1</f>
        <v>-0.050637986415108416</v>
      </c>
      <c r="M74" s="45">
        <f>M16/380624-1</f>
        <v>-0.029477909958384174</v>
      </c>
      <c r="N74" s="45">
        <f>N16/449051-1</f>
        <v>0.006090622223311026</v>
      </c>
      <c r="O74" s="10">
        <f>(O16/P16)-1</f>
        <v>-0.0032303020588444475</v>
      </c>
      <c r="P74" s="10">
        <f>P16/449503-1</f>
        <v>-0.0007096726829409761</v>
      </c>
    </row>
    <row r="75" spans="2:16" ht="11.25">
      <c r="B75" s="28" t="s">
        <v>15</v>
      </c>
      <c r="C75" s="45">
        <f t="shared" si="25"/>
        <v>0.28194844989185297</v>
      </c>
      <c r="D75" s="45">
        <f t="shared" si="25"/>
        <v>0.563361313531962</v>
      </c>
      <c r="E75" s="45">
        <f t="shared" si="25"/>
        <v>0.5659496073542001</v>
      </c>
      <c r="F75" s="46">
        <f t="shared" si="25"/>
        <v>0.3670344599680553</v>
      </c>
      <c r="G75" s="47">
        <f t="shared" si="25"/>
        <v>0.26229570361381827</v>
      </c>
      <c r="H75" s="47">
        <f t="shared" si="25"/>
        <v>0.4586528887812491</v>
      </c>
      <c r="I75" s="47">
        <f t="shared" si="25"/>
        <v>0.6358101732062951</v>
      </c>
      <c r="J75" s="47">
        <f t="shared" si="25"/>
        <v>0.2649852527926797</v>
      </c>
      <c r="K75" s="48">
        <f t="shared" si="25"/>
        <v>0.3069831986915794</v>
      </c>
      <c r="L75" s="45">
        <f>(L17/39839)-1</f>
        <v>-0.06722056276512967</v>
      </c>
      <c r="M75" s="45">
        <f>(M17/36562)-1</f>
        <v>-0.10149882391554077</v>
      </c>
      <c r="N75" s="45">
        <f>(N17/26305)-1</f>
        <v>0.636913134385098</v>
      </c>
      <c r="O75" s="10">
        <f>(O17/P17)-1</f>
        <v>0.732749366653785</v>
      </c>
      <c r="P75" s="10">
        <f>(P17/26878)-1</f>
        <v>-0.13352928045241463</v>
      </c>
    </row>
    <row r="76" spans="2:16" ht="11.25">
      <c r="B76" s="28" t="s">
        <v>16</v>
      </c>
      <c r="C76" s="45">
        <f aca="true" t="shared" si="26" ref="C76:K76">(C21/G21)-1</f>
        <v>-0.19883963019195028</v>
      </c>
      <c r="D76" s="45">
        <f t="shared" si="26"/>
        <v>-0.18703922284362284</v>
      </c>
      <c r="E76" s="45">
        <f t="shared" si="26"/>
        <v>-0.13203641692250256</v>
      </c>
      <c r="F76" s="46">
        <f t="shared" si="26"/>
        <v>-0.1230098430554295</v>
      </c>
      <c r="G76" s="47">
        <f t="shared" si="26"/>
        <v>0.013473929294208542</v>
      </c>
      <c r="H76" s="47">
        <f t="shared" si="26"/>
        <v>0.014038652224542814</v>
      </c>
      <c r="I76" s="47">
        <f t="shared" si="26"/>
        <v>0.06656009603242286</v>
      </c>
      <c r="J76" s="47">
        <f t="shared" si="26"/>
        <v>-0.1369887479907126</v>
      </c>
      <c r="K76" s="48">
        <f t="shared" si="26"/>
        <v>-0.08908657540030296</v>
      </c>
      <c r="L76" s="45">
        <f>(L21/389167)-1</f>
        <v>-0.04894042917307995</v>
      </c>
      <c r="M76" s="45">
        <f>(M21/344062)-1</f>
        <v>-0.02182455487673729</v>
      </c>
      <c r="N76" s="45">
        <f>(N21/422746)-1</f>
        <v>-0.03316175670497179</v>
      </c>
      <c r="O76" s="10">
        <f>(O21/P21)-1</f>
        <v>-0.04347550452576343</v>
      </c>
      <c r="P76" s="10">
        <f>(P21/422625)-1</f>
        <v>0.0077373558118900565</v>
      </c>
    </row>
    <row r="77" spans="1:16" ht="11.25">
      <c r="A77" s="28" t="s">
        <v>66</v>
      </c>
      <c r="C77" s="45">
        <f aca="true" t="shared" si="27" ref="C77:K77">(C25/G25)-1</f>
        <v>0.01861865490539638</v>
      </c>
      <c r="D77" s="45">
        <f t="shared" si="27"/>
        <v>-0.053050053346940684</v>
      </c>
      <c r="E77" s="45">
        <f t="shared" si="27"/>
        <v>-0.03956477799710989</v>
      </c>
      <c r="F77" s="46">
        <f t="shared" si="27"/>
        <v>-0.04034554316876604</v>
      </c>
      <c r="G77" s="47">
        <f t="shared" si="27"/>
        <v>-0.016908045180514142</v>
      </c>
      <c r="H77" s="47">
        <f t="shared" si="27"/>
        <v>0.09042257225813621</v>
      </c>
      <c r="I77" s="47">
        <f t="shared" si="27"/>
        <v>0.10366718091981819</v>
      </c>
      <c r="J77" s="47">
        <f t="shared" si="27"/>
        <v>0.10635912221688293</v>
      </c>
      <c r="K77" s="48">
        <f t="shared" si="27"/>
        <v>0.10810425396546797</v>
      </c>
      <c r="L77" s="45">
        <f>(L25/89089)-1</f>
        <v>0.10953091851968266</v>
      </c>
      <c r="M77" s="45">
        <f>(M25/88213)-1</f>
        <v>0.08750410937163466</v>
      </c>
      <c r="N77" s="45">
        <f>(N25/86490)-1</f>
        <v>0.08272632674297609</v>
      </c>
      <c r="O77" s="10">
        <f>(O25/P25)-1</f>
        <v>0.0790445528147341</v>
      </c>
      <c r="P77" s="10">
        <f>(P25/77560)-1</f>
        <v>0.08927282104177414</v>
      </c>
    </row>
    <row r="78" spans="1:16" ht="11.25">
      <c r="A78" s="14" t="s">
        <v>67</v>
      </c>
      <c r="B78" s="14"/>
      <c r="C78" s="49">
        <f aca="true" t="shared" si="28" ref="C78:K78">(C40/G40)-1</f>
        <v>-0.827652194713551</v>
      </c>
      <c r="D78" s="49">
        <f t="shared" si="28"/>
        <v>-0.6634488810881966</v>
      </c>
      <c r="E78" s="49">
        <f t="shared" si="28"/>
        <v>-0.6171637248934876</v>
      </c>
      <c r="F78" s="50">
        <f t="shared" si="28"/>
        <v>-0.9334586466165413</v>
      </c>
      <c r="G78" s="49">
        <f t="shared" si="28"/>
        <v>-0.15151207631418717</v>
      </c>
      <c r="H78" s="49">
        <f t="shared" si="28"/>
        <v>-0.10999739651132523</v>
      </c>
      <c r="I78" s="49">
        <f t="shared" si="28"/>
        <v>0.03441762854144814</v>
      </c>
      <c r="J78" s="49">
        <f t="shared" si="28"/>
        <v>0.07301331181928195</v>
      </c>
      <c r="K78" s="51">
        <f t="shared" si="28"/>
        <v>0.4826963587120072</v>
      </c>
      <c r="L78" s="49">
        <f>(L40/4570)-1</f>
        <v>0.6809628008752735</v>
      </c>
      <c r="M78" s="49">
        <f>(M40/3692)-1</f>
        <v>0.29062838569880833</v>
      </c>
      <c r="N78" s="49">
        <f>(N40/2006)-1</f>
        <v>0.2357926221335993</v>
      </c>
      <c r="O78" s="11">
        <f>(O40/P40)-1</f>
        <v>-0.2061634018155757</v>
      </c>
      <c r="P78" s="11">
        <f>(P40/8179)-1</f>
        <v>0.023597016750213973</v>
      </c>
    </row>
    <row r="79" spans="15:16" ht="11.25">
      <c r="O79" s="7"/>
      <c r="P79" s="7"/>
    </row>
    <row r="80" spans="15:16" ht="11.25">
      <c r="O80" s="7"/>
      <c r="P80" s="7"/>
    </row>
    <row r="81" spans="15:16" ht="11.25">
      <c r="O81" s="7"/>
      <c r="P81" s="7"/>
    </row>
    <row r="82" spans="15:16" ht="11.25">
      <c r="O82" s="7"/>
      <c r="P82" s="7"/>
    </row>
    <row r="83" spans="15:16" ht="11.25">
      <c r="O83" s="7"/>
      <c r="P83" s="7"/>
    </row>
    <row r="84" spans="15:16" ht="11.25">
      <c r="O84" s="7"/>
      <c r="P84" s="7"/>
    </row>
    <row r="85" spans="15:16" ht="11.25">
      <c r="O85" s="7"/>
      <c r="P85" s="7"/>
    </row>
    <row r="86" spans="15:16" ht="11.25">
      <c r="O86" s="7"/>
      <c r="P86" s="7"/>
    </row>
    <row r="87" spans="15:16" ht="11.25">
      <c r="O87" s="7"/>
      <c r="P87" s="7"/>
    </row>
    <row r="88" spans="15:16" ht="11.25">
      <c r="O88" s="7"/>
      <c r="P88" s="7"/>
    </row>
    <row r="89" spans="15:16" ht="11.25">
      <c r="O89" s="7"/>
      <c r="P89" s="7"/>
    </row>
    <row r="90" spans="15:16" ht="11.25">
      <c r="O90" s="7"/>
      <c r="P90" s="7"/>
    </row>
    <row r="91" spans="15:16" ht="11.25">
      <c r="O91" s="7"/>
      <c r="P91" s="7"/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2017-06-16T16:08:01Z</dcterms:created>
  <dcterms:modified xsi:type="dcterms:W3CDTF">2017-06-16T16:08:06Z</dcterms:modified>
  <cp:category/>
  <cp:version/>
  <cp:contentType/>
  <cp:contentStatus/>
</cp:coreProperties>
</file>