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arís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<sst xmlns="http://schemas.openxmlformats.org/spreadsheetml/2006/main" count="89" uniqueCount="68">
  <si>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18-24</t>
  </si>
  <si>
    <t>BNP PARIBAS (PANAMA), S.A.</t>
  </si>
  <si>
    <t>ESTADISTICA FINANCIERA.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</si>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</sst>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40">
    <font>
      <sz val="10"/>
      <name val="Arial"/>
      <family val="0"/>
    </font>
    <font>
      <b/>
      <sz val="7"/>
      <name val="Arial Narrow"/>
      <family val="2"/>
    </font>
    <font>
      <sz val="7"/>
      <name val="Arial"/>
      <family val="0"/>
    </font>
    <font>
      <sz val="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195" fontId="1" fillId="0" borderId="0" xfId="46" applyNumberFormat="1" applyFont="1" applyAlignment="1">
      <alignment/>
    </xf>
    <xf numFmtId="0" fontId="3" fillId="0" borderId="0" xfId="0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0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0" xfId="5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95" fontId="5" fillId="0" borderId="0" xfId="46" applyNumberFormat="1" applyFont="1" applyAlignment="1">
      <alignment/>
    </xf>
    <xf numFmtId="195" fontId="5" fillId="0" borderId="16" xfId="46" applyNumberFormat="1" applyFont="1" applyBorder="1" applyAlignment="1">
      <alignment/>
    </xf>
    <xf numFmtId="195" fontId="5" fillId="0" borderId="0" xfId="46" applyNumberFormat="1" applyFont="1" applyBorder="1" applyAlignment="1">
      <alignment/>
    </xf>
    <xf numFmtId="0" fontId="4" fillId="0" borderId="0" xfId="0" applyFont="1" applyAlignment="1">
      <alignment/>
    </xf>
    <xf numFmtId="195" fontId="4" fillId="0" borderId="0" xfId="46" applyNumberFormat="1" applyFont="1" applyAlignment="1">
      <alignment/>
    </xf>
    <xf numFmtId="195" fontId="4" fillId="0" borderId="0" xfId="46" applyNumberFormat="1" applyFont="1" applyBorder="1" applyAlignment="1">
      <alignment/>
    </xf>
    <xf numFmtId="195" fontId="4" fillId="0" borderId="15" xfId="46" applyNumberFormat="1" applyFont="1" applyBorder="1" applyAlignment="1">
      <alignment/>
    </xf>
    <xf numFmtId="195" fontId="4" fillId="0" borderId="16" xfId="46" applyNumberFormat="1" applyFont="1" applyBorder="1" applyAlignment="1">
      <alignment/>
    </xf>
    <xf numFmtId="195" fontId="4" fillId="0" borderId="10" xfId="46" applyNumberFormat="1" applyFont="1" applyBorder="1" applyAlignment="1">
      <alignment/>
    </xf>
    <xf numFmtId="195" fontId="4" fillId="0" borderId="13" xfId="46" applyNumberFormat="1" applyFont="1" applyBorder="1" applyAlignment="1">
      <alignment/>
    </xf>
    <xf numFmtId="195" fontId="4" fillId="0" borderId="14" xfId="46" applyNumberFormat="1" applyFont="1" applyBorder="1" applyAlignment="1">
      <alignment/>
    </xf>
    <xf numFmtId="0" fontId="4" fillId="0" borderId="16" xfId="0" applyFont="1" applyBorder="1" applyAlignment="1">
      <alignment/>
    </xf>
    <xf numFmtId="195" fontId="4" fillId="0" borderId="0" xfId="46" applyNumberFormat="1" applyFont="1" applyFill="1" applyAlignment="1">
      <alignment/>
    </xf>
    <xf numFmtId="195" fontId="4" fillId="0" borderId="0" xfId="0" applyNumberFormat="1" applyFont="1" applyAlignment="1">
      <alignment/>
    </xf>
    <xf numFmtId="195" fontId="4" fillId="0" borderId="0" xfId="46" applyNumberFormat="1" applyFont="1" applyFill="1" applyBorder="1" applyAlignment="1">
      <alignment/>
    </xf>
    <xf numFmtId="195" fontId="4" fillId="0" borderId="10" xfId="46" applyNumberFormat="1" applyFont="1" applyFill="1" applyBorder="1" applyAlignment="1">
      <alignment/>
    </xf>
    <xf numFmtId="195" fontId="4" fillId="0" borderId="10" xfId="0" applyNumberFormat="1" applyFont="1" applyBorder="1" applyAlignment="1">
      <alignment/>
    </xf>
    <xf numFmtId="3" fontId="4" fillId="0" borderId="14" xfId="46" applyNumberFormat="1" applyFont="1" applyBorder="1" applyAlignment="1">
      <alignment/>
    </xf>
    <xf numFmtId="3" fontId="4" fillId="0" borderId="0" xfId="0" applyNumberFormat="1" applyFont="1" applyAlignment="1">
      <alignment/>
    </xf>
    <xf numFmtId="10" fontId="4" fillId="0" borderId="0" xfId="52" applyNumberFormat="1" applyFont="1" applyBorder="1" applyAlignment="1">
      <alignment/>
    </xf>
    <xf numFmtId="10" fontId="4" fillId="0" borderId="15" xfId="52" applyNumberFormat="1" applyFont="1" applyBorder="1" applyAlignment="1">
      <alignment/>
    </xf>
    <xf numFmtId="10" fontId="4" fillId="0" borderId="0" xfId="52" applyNumberFormat="1" applyFont="1" applyAlignment="1">
      <alignment/>
    </xf>
    <xf numFmtId="10" fontId="4" fillId="0" borderId="16" xfId="52" applyNumberFormat="1" applyFont="1" applyBorder="1" applyAlignment="1">
      <alignment/>
    </xf>
    <xf numFmtId="10" fontId="4" fillId="0" borderId="10" xfId="52" applyNumberFormat="1" applyFont="1" applyBorder="1" applyAlignment="1">
      <alignment/>
    </xf>
    <xf numFmtId="10" fontId="4" fillId="0" borderId="13" xfId="52" applyNumberFormat="1" applyFont="1" applyBorder="1" applyAlignment="1">
      <alignment/>
    </xf>
    <xf numFmtId="10" fontId="4" fillId="0" borderId="14" xfId="52" applyNumberFormat="1" applyFont="1" applyBorder="1" applyAlignment="1">
      <alignment/>
    </xf>
    <xf numFmtId="0" fontId="4" fillId="0" borderId="15" xfId="0" applyFont="1" applyBorder="1" applyAlignment="1">
      <alignment/>
    </xf>
    <xf numFmtId="197" fontId="4" fillId="0" borderId="0" xfId="52" applyNumberFormat="1" applyFont="1" applyAlignment="1">
      <alignment/>
    </xf>
    <xf numFmtId="197" fontId="4" fillId="0" borderId="16" xfId="52" applyNumberFormat="1" applyFont="1" applyBorder="1" applyAlignment="1">
      <alignment/>
    </xf>
    <xf numFmtId="197" fontId="4" fillId="0" borderId="0" xfId="52" applyNumberFormat="1" applyFont="1" applyBorder="1" applyAlignment="1">
      <alignment/>
    </xf>
    <xf numFmtId="197" fontId="4" fillId="0" borderId="15" xfId="52" applyNumberFormat="1" applyFont="1" applyBorder="1" applyAlignment="1">
      <alignment/>
    </xf>
    <xf numFmtId="197" fontId="4" fillId="0" borderId="10" xfId="52" applyNumberFormat="1" applyFont="1" applyBorder="1" applyAlignment="1">
      <alignment/>
    </xf>
    <xf numFmtId="197" fontId="4" fillId="0" borderId="13" xfId="52" applyNumberFormat="1" applyFont="1" applyBorder="1" applyAlignment="1">
      <alignment/>
    </xf>
    <xf numFmtId="197" fontId="4" fillId="0" borderId="14" xfId="52" applyNumberFormat="1" applyFont="1" applyBorder="1" applyAlignment="1">
      <alignment/>
    </xf>
    <xf numFmtId="10" fontId="4" fillId="0" borderId="0" xfId="52" applyNumberFormat="1" applyFont="1" applyFill="1" applyBorder="1" applyAlignment="1">
      <alignment/>
    </xf>
    <xf numFmtId="10" fontId="4" fillId="0" borderId="16" xfId="52" applyNumberFormat="1" applyFont="1" applyFill="1" applyBorder="1" applyAlignment="1">
      <alignment/>
    </xf>
    <xf numFmtId="10" fontId="4" fillId="0" borderId="10" xfId="52" applyNumberFormat="1" applyFont="1" applyFill="1" applyBorder="1" applyAlignment="1">
      <alignment/>
    </xf>
    <xf numFmtId="10" fontId="4" fillId="0" borderId="14" xfId="52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5</xdr:row>
      <xdr:rowOff>66675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pane xSplit="2" ySplit="8" topLeftCell="C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7" sqref="G7:J7"/>
    </sheetView>
  </sheetViews>
  <sheetFormatPr defaultColWidth="11.421875" defaultRowHeight="12.75"/>
  <cols>
    <col min="1" max="1" width="2.28125" style="29" customWidth="1"/>
    <col min="2" max="2" width="24.421875" style="29" customWidth="1"/>
    <col min="3" max="3" width="8.00390625" style="29" customWidth="1"/>
    <col min="4" max="4" width="8.28125" style="29" customWidth="1"/>
    <col min="5" max="5" width="7.7109375" style="29" customWidth="1"/>
    <col min="6" max="6" width="8.140625" style="29" customWidth="1"/>
    <col min="7" max="7" width="7.421875" style="29" bestFit="1" customWidth="1"/>
    <col min="8" max="8" width="8.421875" style="29" customWidth="1"/>
    <col min="9" max="9" width="7.421875" style="29" customWidth="1"/>
    <col min="10" max="10" width="7.8515625" style="29" customWidth="1"/>
    <col min="11" max="11" width="8.28125" style="29" customWidth="1"/>
    <col min="12" max="12" width="8.8515625" style="29" customWidth="1"/>
    <col min="13" max="13" width="7.421875" style="29" customWidth="1"/>
    <col min="14" max="14" width="8.00390625" style="29" customWidth="1"/>
    <col min="15" max="16" width="6.421875" style="2" hidden="1" customWidth="1"/>
    <col min="17" max="16384" width="11.421875" style="2" customWidth="1"/>
  </cols>
  <sheetData>
    <row r="1" spans="2:16" ht="11.25">
      <c r="B1" s="1"/>
      <c r="C1" s="1"/>
      <c r="D1" s="1"/>
      <c r="E1" s="1"/>
      <c r="F1" s="1"/>
      <c r="G1" s="1"/>
      <c r="H1" s="64" t="s">
        <v>0</v>
      </c>
      <c r="I1" s="1"/>
      <c r="J1" s="1"/>
      <c r="K1" s="1"/>
      <c r="L1" s="1"/>
      <c r="M1" s="1"/>
      <c r="N1" s="1"/>
      <c r="O1" s="1"/>
      <c r="P1" s="1"/>
    </row>
    <row r="2" spans="2:16" ht="11.25">
      <c r="B2" s="1"/>
      <c r="C2" s="1"/>
      <c r="D2" s="1"/>
      <c r="E2" s="1"/>
      <c r="F2" s="1"/>
      <c r="G2" s="1"/>
      <c r="H2" s="64" t="s">
        <v>1</v>
      </c>
      <c r="I2" s="1"/>
      <c r="J2" s="1"/>
      <c r="K2" s="1"/>
      <c r="L2" s="1"/>
      <c r="M2" s="1"/>
      <c r="N2" s="1"/>
      <c r="O2" s="1"/>
      <c r="P2" s="1"/>
    </row>
    <row r="3" spans="2:16" ht="11.25">
      <c r="B3" s="1"/>
      <c r="C3" s="1"/>
      <c r="D3" s="1"/>
      <c r="E3" s="1"/>
      <c r="F3" s="1"/>
      <c r="G3" s="1"/>
      <c r="H3" s="64" t="s">
        <v>2</v>
      </c>
      <c r="I3" s="1"/>
      <c r="J3" s="1"/>
      <c r="K3" s="1"/>
      <c r="L3" s="1"/>
      <c r="M3" s="1"/>
      <c r="N3" s="1"/>
      <c r="O3" s="1"/>
      <c r="P3" s="1"/>
    </row>
    <row r="4" spans="1:16" ht="11.25">
      <c r="A4" s="2"/>
      <c r="B4" s="3"/>
      <c r="C4" s="3"/>
      <c r="D4" s="3"/>
      <c r="E4" s="3"/>
      <c r="F4" s="3"/>
      <c r="G4" s="3"/>
      <c r="H4" s="65" t="s">
        <v>3</v>
      </c>
      <c r="I4" s="3"/>
      <c r="J4" s="3"/>
      <c r="K4" s="3"/>
      <c r="L4" s="3"/>
      <c r="M4" s="3"/>
      <c r="N4" s="3"/>
      <c r="O4" s="3"/>
      <c r="P4" s="3"/>
    </row>
    <row r="5" spans="1:16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5"/>
      <c r="M6" s="15"/>
      <c r="N6" s="15"/>
      <c r="O6" s="4"/>
      <c r="P6" s="4"/>
    </row>
    <row r="7" spans="1:16" ht="11.25">
      <c r="A7" s="16"/>
      <c r="B7" s="16"/>
      <c r="C7" s="67">
        <v>2002</v>
      </c>
      <c r="D7" s="67"/>
      <c r="E7" s="67"/>
      <c r="F7" s="69"/>
      <c r="G7" s="67">
        <v>2001</v>
      </c>
      <c r="H7" s="67"/>
      <c r="I7" s="67"/>
      <c r="J7" s="67"/>
      <c r="K7" s="66">
        <v>2000</v>
      </c>
      <c r="L7" s="67"/>
      <c r="M7" s="67"/>
      <c r="N7" s="67"/>
      <c r="O7" s="68" t="s">
        <v>4</v>
      </c>
      <c r="P7" s="68"/>
    </row>
    <row r="8" spans="1:16" ht="11.25">
      <c r="A8" s="17"/>
      <c r="B8" s="17"/>
      <c r="C8" s="18" t="s">
        <v>5</v>
      </c>
      <c r="D8" s="17" t="s">
        <v>6</v>
      </c>
      <c r="E8" s="19" t="s">
        <v>7</v>
      </c>
      <c r="F8" s="20" t="s">
        <v>8</v>
      </c>
      <c r="G8" s="18" t="s">
        <v>5</v>
      </c>
      <c r="H8" s="17" t="s">
        <v>6</v>
      </c>
      <c r="I8" s="17" t="s">
        <v>7</v>
      </c>
      <c r="J8" s="17" t="s">
        <v>8</v>
      </c>
      <c r="K8" s="21" t="s">
        <v>5</v>
      </c>
      <c r="L8" s="17" t="s">
        <v>6</v>
      </c>
      <c r="M8" s="17" t="s">
        <v>7</v>
      </c>
      <c r="N8" s="22" t="s">
        <v>8</v>
      </c>
      <c r="O8" s="5" t="s">
        <v>9</v>
      </c>
      <c r="P8" s="5" t="s">
        <v>10</v>
      </c>
    </row>
    <row r="9" spans="1:16" ht="11.25">
      <c r="A9" s="23" t="s">
        <v>11</v>
      </c>
      <c r="B9" s="23"/>
      <c r="C9" s="23"/>
      <c r="D9" s="23"/>
      <c r="E9" s="24"/>
      <c r="F9" s="25"/>
      <c r="G9" s="23"/>
      <c r="H9" s="23"/>
      <c r="I9" s="23"/>
      <c r="J9" s="26"/>
      <c r="K9" s="27"/>
      <c r="L9" s="28"/>
      <c r="M9" s="28"/>
      <c r="N9" s="28"/>
      <c r="O9" s="6"/>
      <c r="P9" s="6"/>
    </row>
    <row r="10" spans="1:16" ht="11.25">
      <c r="A10" s="29" t="s">
        <v>12</v>
      </c>
      <c r="C10" s="30">
        <v>19692</v>
      </c>
      <c r="D10" s="30">
        <v>251346</v>
      </c>
      <c r="E10" s="31">
        <v>281779</v>
      </c>
      <c r="F10" s="32">
        <v>270513</v>
      </c>
      <c r="G10" s="30">
        <v>279947</v>
      </c>
      <c r="H10" s="30">
        <v>232816</v>
      </c>
      <c r="I10" s="30">
        <v>217227</v>
      </c>
      <c r="J10" s="30">
        <v>207595</v>
      </c>
      <c r="K10" s="33">
        <v>244824</v>
      </c>
      <c r="L10" s="31">
        <v>244001</v>
      </c>
      <c r="M10" s="31">
        <v>228208</v>
      </c>
      <c r="N10" s="31">
        <v>212464</v>
      </c>
      <c r="O10" s="8">
        <v>230619</v>
      </c>
      <c r="P10" s="8">
        <v>272103</v>
      </c>
    </row>
    <row r="11" spans="1:16" ht="11.25">
      <c r="A11" s="29" t="s">
        <v>13</v>
      </c>
      <c r="C11" s="30">
        <v>18981</v>
      </c>
      <c r="D11" s="30">
        <v>51450</v>
      </c>
      <c r="E11" s="31">
        <v>85915</v>
      </c>
      <c r="F11" s="32">
        <v>63405</v>
      </c>
      <c r="G11" s="30">
        <v>58820</v>
      </c>
      <c r="H11" s="30">
        <v>35601</v>
      </c>
      <c r="I11" s="30">
        <v>40172</v>
      </c>
      <c r="J11" s="30">
        <v>42932</v>
      </c>
      <c r="K11" s="33">
        <v>77305</v>
      </c>
      <c r="L11" s="31">
        <v>62606</v>
      </c>
      <c r="M11" s="31">
        <v>45487</v>
      </c>
      <c r="N11" s="31">
        <v>45090</v>
      </c>
      <c r="O11" s="8">
        <v>52989</v>
      </c>
      <c r="P11" s="8">
        <v>106645</v>
      </c>
    </row>
    <row r="12" spans="1:16" ht="11.25">
      <c r="A12" s="29" t="s">
        <v>14</v>
      </c>
      <c r="C12" s="31">
        <f aca="true" t="shared" si="0" ref="C12:P12">C13+C14</f>
        <v>0</v>
      </c>
      <c r="D12" s="31">
        <f t="shared" si="0"/>
        <v>179287</v>
      </c>
      <c r="E12" s="31">
        <f t="shared" si="0"/>
        <v>178150</v>
      </c>
      <c r="F12" s="32">
        <f t="shared" si="0"/>
        <v>184060</v>
      </c>
      <c r="G12" s="30">
        <f t="shared" si="0"/>
        <v>195868</v>
      </c>
      <c r="H12" s="30">
        <f t="shared" si="0"/>
        <v>173547</v>
      </c>
      <c r="I12" s="30">
        <f t="shared" si="0"/>
        <v>157446</v>
      </c>
      <c r="J12" s="30">
        <f t="shared" si="0"/>
        <v>145629</v>
      </c>
      <c r="K12" s="33">
        <f t="shared" si="0"/>
        <v>146761</v>
      </c>
      <c r="L12" s="31">
        <f t="shared" si="0"/>
        <v>162904</v>
      </c>
      <c r="M12" s="31">
        <f t="shared" si="0"/>
        <v>163144</v>
      </c>
      <c r="N12" s="31">
        <f t="shared" si="0"/>
        <v>147063</v>
      </c>
      <c r="O12" s="8">
        <f t="shared" si="0"/>
        <v>154893</v>
      </c>
      <c r="P12" s="8">
        <f t="shared" si="0"/>
        <v>147476</v>
      </c>
    </row>
    <row r="13" spans="2:16" ht="11.25">
      <c r="B13" s="29" t="s">
        <v>15</v>
      </c>
      <c r="C13" s="30">
        <v>0</v>
      </c>
      <c r="D13" s="30">
        <v>168305</v>
      </c>
      <c r="E13" s="31">
        <v>166033</v>
      </c>
      <c r="F13" s="32">
        <v>175593</v>
      </c>
      <c r="G13" s="30">
        <v>185380</v>
      </c>
      <c r="H13" s="30">
        <v>167476</v>
      </c>
      <c r="I13" s="30">
        <v>151593</v>
      </c>
      <c r="J13" s="30">
        <v>139418</v>
      </c>
      <c r="K13" s="33">
        <v>140997</v>
      </c>
      <c r="L13" s="31">
        <v>152826</v>
      </c>
      <c r="M13" s="31">
        <v>149455</v>
      </c>
      <c r="N13" s="31">
        <v>137402</v>
      </c>
      <c r="O13" s="8">
        <v>144148</v>
      </c>
      <c r="P13" s="8">
        <v>133661</v>
      </c>
    </row>
    <row r="14" spans="2:16" ht="11.25">
      <c r="B14" s="29" t="s">
        <v>16</v>
      </c>
      <c r="C14" s="30">
        <v>0</v>
      </c>
      <c r="D14" s="30">
        <v>10982</v>
      </c>
      <c r="E14" s="31">
        <v>12117</v>
      </c>
      <c r="F14" s="32">
        <v>8467</v>
      </c>
      <c r="G14" s="30">
        <v>10488</v>
      </c>
      <c r="H14" s="30">
        <v>6071</v>
      </c>
      <c r="I14" s="30">
        <v>5853</v>
      </c>
      <c r="J14" s="30">
        <v>6211</v>
      </c>
      <c r="K14" s="33">
        <v>5764</v>
      </c>
      <c r="L14" s="31">
        <v>10078</v>
      </c>
      <c r="M14" s="31">
        <v>13689</v>
      </c>
      <c r="N14" s="31">
        <v>9661</v>
      </c>
      <c r="O14" s="8">
        <v>10745</v>
      </c>
      <c r="P14" s="8">
        <v>13815</v>
      </c>
    </row>
    <row r="15" spans="1:16" ht="11.25">
      <c r="A15" s="29" t="s">
        <v>17</v>
      </c>
      <c r="C15" s="30">
        <v>0</v>
      </c>
      <c r="D15" s="30">
        <v>11020</v>
      </c>
      <c r="E15" s="31">
        <v>11057</v>
      </c>
      <c r="F15" s="32">
        <v>11460</v>
      </c>
      <c r="G15" s="30">
        <v>11506</v>
      </c>
      <c r="H15" s="30">
        <v>11538</v>
      </c>
      <c r="I15" s="30">
        <v>9001</v>
      </c>
      <c r="J15" s="30">
        <v>10001</v>
      </c>
      <c r="K15" s="33">
        <v>9909</v>
      </c>
      <c r="L15" s="31">
        <v>9909</v>
      </c>
      <c r="M15" s="31">
        <v>9835</v>
      </c>
      <c r="N15" s="31">
        <v>9836</v>
      </c>
      <c r="O15" s="8">
        <v>10126</v>
      </c>
      <c r="P15" s="8">
        <v>9018</v>
      </c>
    </row>
    <row r="16" spans="1:16" ht="11.25">
      <c r="A16" s="29" t="s">
        <v>18</v>
      </c>
      <c r="C16" s="31">
        <f aca="true" t="shared" si="1" ref="C16:P16">C17+C21</f>
        <v>0</v>
      </c>
      <c r="D16" s="31">
        <f t="shared" si="1"/>
        <v>218177</v>
      </c>
      <c r="E16" s="31">
        <f t="shared" si="1"/>
        <v>248592</v>
      </c>
      <c r="F16" s="32">
        <f t="shared" si="1"/>
        <v>233895</v>
      </c>
      <c r="G16" s="30">
        <f t="shared" si="1"/>
        <v>247886</v>
      </c>
      <c r="H16" s="30">
        <f t="shared" si="1"/>
        <v>191754</v>
      </c>
      <c r="I16" s="30">
        <f t="shared" si="1"/>
        <v>180309</v>
      </c>
      <c r="J16" s="30">
        <f t="shared" si="1"/>
        <v>171489</v>
      </c>
      <c r="K16" s="33">
        <f t="shared" si="1"/>
        <v>200392</v>
      </c>
      <c r="L16" s="31">
        <f t="shared" si="1"/>
        <v>205416</v>
      </c>
      <c r="M16" s="31">
        <f t="shared" si="1"/>
        <v>192956</v>
      </c>
      <c r="N16" s="31">
        <f t="shared" si="1"/>
        <v>175598</v>
      </c>
      <c r="O16" s="8">
        <f t="shared" si="1"/>
        <v>195098</v>
      </c>
      <c r="P16" s="8">
        <f t="shared" si="1"/>
        <v>236744</v>
      </c>
    </row>
    <row r="17" spans="2:16" ht="11.25">
      <c r="B17" s="29" t="s">
        <v>15</v>
      </c>
      <c r="C17" s="31">
        <f aca="true" t="shared" si="2" ref="C17:P17">SUM(C18:C20)</f>
        <v>0</v>
      </c>
      <c r="D17" s="31">
        <f t="shared" si="2"/>
        <v>124300</v>
      </c>
      <c r="E17" s="31">
        <f t="shared" si="2"/>
        <v>153048</v>
      </c>
      <c r="F17" s="32">
        <f t="shared" si="2"/>
        <v>140830</v>
      </c>
      <c r="G17" s="30">
        <f t="shared" si="2"/>
        <v>150412</v>
      </c>
      <c r="H17" s="30">
        <f t="shared" si="2"/>
        <v>119703</v>
      </c>
      <c r="I17" s="30">
        <f t="shared" si="2"/>
        <v>118244</v>
      </c>
      <c r="J17" s="30">
        <f t="shared" si="2"/>
        <v>110951</v>
      </c>
      <c r="K17" s="33">
        <f t="shared" si="2"/>
        <v>143250</v>
      </c>
      <c r="L17" s="31">
        <f t="shared" si="2"/>
        <v>131399</v>
      </c>
      <c r="M17" s="31">
        <f t="shared" si="2"/>
        <v>129922</v>
      </c>
      <c r="N17" s="31">
        <f t="shared" si="2"/>
        <v>121390</v>
      </c>
      <c r="O17" s="8">
        <f t="shared" si="2"/>
        <v>143545</v>
      </c>
      <c r="P17" s="8">
        <f t="shared" si="2"/>
        <v>189857</v>
      </c>
    </row>
    <row r="18" spans="2:16" ht="11.25">
      <c r="B18" s="29" t="s">
        <v>19</v>
      </c>
      <c r="C18" s="30">
        <v>0</v>
      </c>
      <c r="D18" s="30">
        <v>0</v>
      </c>
      <c r="E18" s="31">
        <v>0</v>
      </c>
      <c r="F18" s="32">
        <v>0</v>
      </c>
      <c r="G18" s="30">
        <v>0</v>
      </c>
      <c r="H18" s="30">
        <v>0</v>
      </c>
      <c r="I18" s="30">
        <v>0</v>
      </c>
      <c r="J18" s="30">
        <v>0</v>
      </c>
      <c r="K18" s="33">
        <v>0</v>
      </c>
      <c r="L18" s="31">
        <v>0</v>
      </c>
      <c r="M18" s="31">
        <v>0</v>
      </c>
      <c r="N18" s="31">
        <v>0</v>
      </c>
      <c r="O18" s="8">
        <v>0</v>
      </c>
      <c r="P18" s="8">
        <v>0</v>
      </c>
    </row>
    <row r="19" spans="2:16" ht="11.25">
      <c r="B19" s="29" t="s">
        <v>20</v>
      </c>
      <c r="C19" s="30">
        <v>0</v>
      </c>
      <c r="D19" s="30">
        <v>117670</v>
      </c>
      <c r="E19" s="31">
        <v>144890</v>
      </c>
      <c r="F19" s="32">
        <v>131319</v>
      </c>
      <c r="G19" s="30">
        <f>38658+104379</f>
        <v>143037</v>
      </c>
      <c r="H19" s="30">
        <v>101850</v>
      </c>
      <c r="I19" s="30">
        <v>115391</v>
      </c>
      <c r="J19" s="30">
        <v>108098</v>
      </c>
      <c r="K19" s="33">
        <v>119226</v>
      </c>
      <c r="L19" s="31">
        <v>88915</v>
      </c>
      <c r="M19" s="31">
        <v>111960</v>
      </c>
      <c r="N19" s="31">
        <v>116390</v>
      </c>
      <c r="O19" s="8">
        <v>125544</v>
      </c>
      <c r="P19" s="8">
        <v>146856</v>
      </c>
    </row>
    <row r="20" spans="2:16" ht="11.25">
      <c r="B20" s="29" t="s">
        <v>21</v>
      </c>
      <c r="C20" s="30">
        <v>0</v>
      </c>
      <c r="D20" s="30">
        <v>6630</v>
      </c>
      <c r="E20" s="31">
        <v>8158</v>
      </c>
      <c r="F20" s="32">
        <v>9511</v>
      </c>
      <c r="G20" s="30">
        <v>7375</v>
      </c>
      <c r="H20" s="30">
        <v>17853</v>
      </c>
      <c r="I20" s="30">
        <v>2853</v>
      </c>
      <c r="J20" s="30">
        <v>2853</v>
      </c>
      <c r="K20" s="33">
        <v>24024</v>
      </c>
      <c r="L20" s="31">
        <v>42484</v>
      </c>
      <c r="M20" s="31">
        <v>17962</v>
      </c>
      <c r="N20" s="31">
        <v>5000</v>
      </c>
      <c r="O20" s="8">
        <v>18001</v>
      </c>
      <c r="P20" s="8">
        <v>43001</v>
      </c>
    </row>
    <row r="21" spans="2:16" ht="11.25">
      <c r="B21" s="29" t="s">
        <v>16</v>
      </c>
      <c r="C21" s="31">
        <f>SUM(C22:C24)</f>
        <v>0</v>
      </c>
      <c r="D21" s="31">
        <f aca="true" t="shared" si="3" ref="D21:P21">SUM(D23:D24)</f>
        <v>93877</v>
      </c>
      <c r="E21" s="31">
        <f t="shared" si="3"/>
        <v>95544</v>
      </c>
      <c r="F21" s="32">
        <f t="shared" si="3"/>
        <v>93065</v>
      </c>
      <c r="G21" s="30">
        <f t="shared" si="3"/>
        <v>97474</v>
      </c>
      <c r="H21" s="30">
        <f t="shared" si="3"/>
        <v>72051</v>
      </c>
      <c r="I21" s="30">
        <f t="shared" si="3"/>
        <v>62065</v>
      </c>
      <c r="J21" s="30">
        <f t="shared" si="3"/>
        <v>60538</v>
      </c>
      <c r="K21" s="33">
        <f t="shared" si="3"/>
        <v>57142</v>
      </c>
      <c r="L21" s="31">
        <f t="shared" si="3"/>
        <v>74017</v>
      </c>
      <c r="M21" s="31">
        <f t="shared" si="3"/>
        <v>63034</v>
      </c>
      <c r="N21" s="31">
        <f t="shared" si="3"/>
        <v>54208</v>
      </c>
      <c r="O21" s="8">
        <f t="shared" si="3"/>
        <v>51553</v>
      </c>
      <c r="P21" s="8">
        <f t="shared" si="3"/>
        <v>46887</v>
      </c>
    </row>
    <row r="22" spans="2:16" ht="11.25">
      <c r="B22" s="29" t="s">
        <v>19</v>
      </c>
      <c r="C22" s="31">
        <v>0</v>
      </c>
      <c r="D22" s="31">
        <v>0</v>
      </c>
      <c r="E22" s="31">
        <v>0</v>
      </c>
      <c r="F22" s="32">
        <v>0</v>
      </c>
      <c r="G22" s="30">
        <v>0</v>
      </c>
      <c r="H22" s="30">
        <v>0</v>
      </c>
      <c r="I22" s="30">
        <v>0</v>
      </c>
      <c r="J22" s="30">
        <v>0</v>
      </c>
      <c r="K22" s="33">
        <v>0</v>
      </c>
      <c r="L22" s="31">
        <v>0</v>
      </c>
      <c r="M22" s="31">
        <v>0</v>
      </c>
      <c r="N22" s="31">
        <v>0</v>
      </c>
      <c r="O22" s="8"/>
      <c r="P22" s="8"/>
    </row>
    <row r="23" spans="2:16" ht="11.25">
      <c r="B23" s="29" t="s">
        <v>20</v>
      </c>
      <c r="C23" s="30">
        <v>0</v>
      </c>
      <c r="D23" s="30">
        <v>47231</v>
      </c>
      <c r="E23" s="31">
        <v>47179</v>
      </c>
      <c r="F23" s="32">
        <v>48880</v>
      </c>
      <c r="G23" s="30">
        <f>6362+45075</f>
        <v>51437</v>
      </c>
      <c r="H23" s="30">
        <v>22239</v>
      </c>
      <c r="I23" s="30">
        <v>25492</v>
      </c>
      <c r="J23" s="30">
        <v>21924</v>
      </c>
      <c r="K23" s="33">
        <v>25709</v>
      </c>
      <c r="L23" s="31">
        <v>46965</v>
      </c>
      <c r="M23" s="31">
        <v>29885</v>
      </c>
      <c r="N23" s="31">
        <v>22839</v>
      </c>
      <c r="O23" s="8">
        <v>21988</v>
      </c>
      <c r="P23" s="8">
        <v>22984</v>
      </c>
    </row>
    <row r="24" spans="2:16" ht="11.25">
      <c r="B24" s="29" t="s">
        <v>21</v>
      </c>
      <c r="C24" s="30">
        <v>0</v>
      </c>
      <c r="D24" s="30">
        <v>46646</v>
      </c>
      <c r="E24" s="31">
        <v>48365</v>
      </c>
      <c r="F24" s="32">
        <v>44185</v>
      </c>
      <c r="G24" s="30">
        <f>3162+29+42846</f>
        <v>46037</v>
      </c>
      <c r="H24" s="30">
        <v>49812</v>
      </c>
      <c r="I24" s="30">
        <v>36573</v>
      </c>
      <c r="J24" s="30">
        <v>38614</v>
      </c>
      <c r="K24" s="33">
        <v>31433</v>
      </c>
      <c r="L24" s="31">
        <v>27052</v>
      </c>
      <c r="M24" s="31">
        <v>33149</v>
      </c>
      <c r="N24" s="31">
        <v>31369</v>
      </c>
      <c r="O24" s="8">
        <v>29565</v>
      </c>
      <c r="P24" s="8">
        <v>23903</v>
      </c>
    </row>
    <row r="25" spans="1:16" ht="11.25">
      <c r="A25" s="14" t="s">
        <v>22</v>
      </c>
      <c r="B25" s="14"/>
      <c r="C25" s="34">
        <v>18946</v>
      </c>
      <c r="D25" s="34">
        <v>16727</v>
      </c>
      <c r="E25" s="34">
        <v>18233</v>
      </c>
      <c r="F25" s="35">
        <v>20869</v>
      </c>
      <c r="G25" s="34">
        <v>20309</v>
      </c>
      <c r="H25" s="34">
        <v>21744</v>
      </c>
      <c r="I25" s="34">
        <v>21222</v>
      </c>
      <c r="J25" s="34">
        <v>20560</v>
      </c>
      <c r="K25" s="36">
        <v>20097</v>
      </c>
      <c r="L25" s="34">
        <v>21704</v>
      </c>
      <c r="M25" s="34">
        <v>21198</v>
      </c>
      <c r="N25" s="34">
        <v>21620</v>
      </c>
      <c r="O25" s="9">
        <v>22015</v>
      </c>
      <c r="P25" s="9">
        <v>23646</v>
      </c>
    </row>
    <row r="26" spans="1:16" ht="11.25">
      <c r="A26" s="23" t="s">
        <v>23</v>
      </c>
      <c r="E26" s="31"/>
      <c r="F26" s="32"/>
      <c r="H26" s="30"/>
      <c r="J26" s="30"/>
      <c r="K26" s="33"/>
      <c r="L26" s="31"/>
      <c r="M26" s="31"/>
      <c r="N26" s="31"/>
      <c r="O26" s="8"/>
      <c r="P26" s="8"/>
    </row>
    <row r="27" spans="1:16" ht="11.25">
      <c r="A27" s="29" t="s">
        <v>12</v>
      </c>
      <c r="C27" s="31">
        <f aca="true" t="shared" si="4" ref="C27:J27">(C10+G10)/2</f>
        <v>149819.5</v>
      </c>
      <c r="D27" s="31">
        <f t="shared" si="4"/>
        <v>242081</v>
      </c>
      <c r="E27" s="31">
        <f t="shared" si="4"/>
        <v>249503</v>
      </c>
      <c r="F27" s="32">
        <f t="shared" si="4"/>
        <v>239054</v>
      </c>
      <c r="G27" s="30">
        <f t="shared" si="4"/>
        <v>262385.5</v>
      </c>
      <c r="H27" s="30">
        <f t="shared" si="4"/>
        <v>238408.5</v>
      </c>
      <c r="I27" s="30">
        <f t="shared" si="4"/>
        <v>222717.5</v>
      </c>
      <c r="J27" s="30">
        <f t="shared" si="4"/>
        <v>210029.5</v>
      </c>
      <c r="K27" s="33">
        <f>(K10+230619)/2</f>
        <v>237721.5</v>
      </c>
      <c r="L27" s="31">
        <f>(L10+257946)/2</f>
        <v>250973.5</v>
      </c>
      <c r="M27" s="31">
        <f>(M10+263031)/2</f>
        <v>245619.5</v>
      </c>
      <c r="N27" s="31">
        <f>(N10+255437)/2</f>
        <v>233950.5</v>
      </c>
      <c r="O27" s="8">
        <f>(O10+P10)/2</f>
        <v>251361</v>
      </c>
      <c r="P27" s="8">
        <f>(P10+236922)/2</f>
        <v>254512.5</v>
      </c>
    </row>
    <row r="28" spans="1:16" ht="11.25">
      <c r="A28" s="29" t="s">
        <v>24</v>
      </c>
      <c r="C28" s="31">
        <f aca="true" t="shared" si="5" ref="C28:P28">C29+C30</f>
        <v>103687</v>
      </c>
      <c r="D28" s="31">
        <f t="shared" si="5"/>
        <v>187696</v>
      </c>
      <c r="E28" s="31">
        <f t="shared" si="5"/>
        <v>177827</v>
      </c>
      <c r="F28" s="32">
        <f t="shared" si="5"/>
        <v>175575</v>
      </c>
      <c r="G28" s="30">
        <f t="shared" si="5"/>
        <v>182022</v>
      </c>
      <c r="H28" s="30">
        <f t="shared" si="5"/>
        <v>178949</v>
      </c>
      <c r="I28" s="30">
        <f t="shared" si="5"/>
        <v>169713</v>
      </c>
      <c r="J28" s="30">
        <f t="shared" si="5"/>
        <v>156264.5</v>
      </c>
      <c r="K28" s="33">
        <f t="shared" si="5"/>
        <v>160844.5</v>
      </c>
      <c r="L28" s="31">
        <f t="shared" si="5"/>
        <v>163710</v>
      </c>
      <c r="M28" s="31">
        <f t="shared" si="5"/>
        <v>163937</v>
      </c>
      <c r="N28" s="31">
        <f t="shared" si="5"/>
        <v>154138</v>
      </c>
      <c r="O28" s="8">
        <f t="shared" si="5"/>
        <v>160756.5</v>
      </c>
      <c r="P28" s="8">
        <f t="shared" si="5"/>
        <v>156583</v>
      </c>
    </row>
    <row r="29" spans="2:16" ht="11.25">
      <c r="B29" s="29" t="s">
        <v>14</v>
      </c>
      <c r="C29" s="31">
        <f aca="true" t="shared" si="6" ref="C29:K29">(C12+G12)/2</f>
        <v>97934</v>
      </c>
      <c r="D29" s="31">
        <f t="shared" si="6"/>
        <v>176417</v>
      </c>
      <c r="E29" s="31">
        <f t="shared" si="6"/>
        <v>167798</v>
      </c>
      <c r="F29" s="32">
        <f t="shared" si="6"/>
        <v>164844.5</v>
      </c>
      <c r="G29" s="30">
        <f t="shared" si="6"/>
        <v>171314.5</v>
      </c>
      <c r="H29" s="30">
        <f t="shared" si="6"/>
        <v>168225.5</v>
      </c>
      <c r="I29" s="30">
        <f t="shared" si="6"/>
        <v>160295</v>
      </c>
      <c r="J29" s="30">
        <f t="shared" si="6"/>
        <v>146346</v>
      </c>
      <c r="K29" s="33">
        <f t="shared" si="6"/>
        <v>150827</v>
      </c>
      <c r="L29" s="31">
        <f>(L12+145481)/2</f>
        <v>154192.5</v>
      </c>
      <c r="M29" s="31">
        <f>(M12+145814)/2</f>
        <v>154479</v>
      </c>
      <c r="N29" s="31">
        <f>(N12+142296)/2</f>
        <v>144679.5</v>
      </c>
      <c r="O29" s="8">
        <f>(O12+P12)/2</f>
        <v>151184.5</v>
      </c>
      <c r="P29" s="8">
        <f>(P12+147773)/2</f>
        <v>147624.5</v>
      </c>
    </row>
    <row r="30" spans="2:16" ht="11.25">
      <c r="B30" s="29" t="s">
        <v>17</v>
      </c>
      <c r="C30" s="31">
        <f aca="true" t="shared" si="7" ref="C30:K30">(C15+G15)/2</f>
        <v>5753</v>
      </c>
      <c r="D30" s="31">
        <f t="shared" si="7"/>
        <v>11279</v>
      </c>
      <c r="E30" s="31">
        <f t="shared" si="7"/>
        <v>10029</v>
      </c>
      <c r="F30" s="32">
        <f t="shared" si="7"/>
        <v>10730.5</v>
      </c>
      <c r="G30" s="30">
        <f t="shared" si="7"/>
        <v>10707.5</v>
      </c>
      <c r="H30" s="30">
        <f t="shared" si="7"/>
        <v>10723.5</v>
      </c>
      <c r="I30" s="30">
        <f t="shared" si="7"/>
        <v>9418</v>
      </c>
      <c r="J30" s="30">
        <f t="shared" si="7"/>
        <v>9918.5</v>
      </c>
      <c r="K30" s="33">
        <f t="shared" si="7"/>
        <v>10017.5</v>
      </c>
      <c r="L30" s="31">
        <f>(L15+9126)/2</f>
        <v>9517.5</v>
      </c>
      <c r="M30" s="31">
        <f>(M15+9081)/2</f>
        <v>9458</v>
      </c>
      <c r="N30" s="31">
        <f>(N15+9081)/2</f>
        <v>9458.5</v>
      </c>
      <c r="O30" s="8">
        <f>(O15+P15)/2</f>
        <v>9572</v>
      </c>
      <c r="P30" s="8">
        <f>(P15+8899)/2</f>
        <v>8958.5</v>
      </c>
    </row>
    <row r="31" spans="1:16" ht="11.25">
      <c r="A31" s="14" t="s">
        <v>22</v>
      </c>
      <c r="B31" s="14"/>
      <c r="C31" s="34">
        <f aca="true" t="shared" si="8" ref="C31:K31">(C25+G25)/2</f>
        <v>19627.5</v>
      </c>
      <c r="D31" s="34">
        <f t="shared" si="8"/>
        <v>19235.5</v>
      </c>
      <c r="E31" s="34">
        <f t="shared" si="8"/>
        <v>19727.5</v>
      </c>
      <c r="F31" s="35">
        <f t="shared" si="8"/>
        <v>20714.5</v>
      </c>
      <c r="G31" s="34">
        <f t="shared" si="8"/>
        <v>20203</v>
      </c>
      <c r="H31" s="34">
        <f t="shared" si="8"/>
        <v>21724</v>
      </c>
      <c r="I31" s="34">
        <f t="shared" si="8"/>
        <v>21210</v>
      </c>
      <c r="J31" s="34">
        <f t="shared" si="8"/>
        <v>21090</v>
      </c>
      <c r="K31" s="36">
        <f t="shared" si="8"/>
        <v>21056</v>
      </c>
      <c r="L31" s="34">
        <f>(L25+21750)/2</f>
        <v>21727</v>
      </c>
      <c r="M31" s="34">
        <f>(M25+20360)/2</f>
        <v>20779</v>
      </c>
      <c r="N31" s="34">
        <f>(N25+24119)/2</f>
        <v>22869.5</v>
      </c>
      <c r="O31" s="9">
        <f>(O25+P25)/2</f>
        <v>22830.5</v>
      </c>
      <c r="P31" s="9">
        <f>(P25+22075)/2</f>
        <v>22860.5</v>
      </c>
    </row>
    <row r="32" spans="1:16" ht="11.25">
      <c r="A32" s="23" t="s">
        <v>25</v>
      </c>
      <c r="E32" s="31"/>
      <c r="F32" s="32"/>
      <c r="H32" s="30"/>
      <c r="J32" s="30"/>
      <c r="K32" s="37"/>
      <c r="L32" s="15"/>
      <c r="M32" s="15"/>
      <c r="N32" s="15"/>
      <c r="O32" s="7"/>
      <c r="P32" s="7"/>
    </row>
    <row r="33" spans="1:16" ht="11.25">
      <c r="A33" s="29" t="s">
        <v>26</v>
      </c>
      <c r="C33" s="38">
        <v>11594</v>
      </c>
      <c r="D33" s="30">
        <v>9628</v>
      </c>
      <c r="E33" s="31">
        <v>6558</v>
      </c>
      <c r="F33" s="32">
        <v>3222</v>
      </c>
      <c r="G33" s="39">
        <v>13846</v>
      </c>
      <c r="H33" s="30">
        <f>I33+3442</f>
        <v>10621</v>
      </c>
      <c r="I33" s="30">
        <f>J33+3372</f>
        <v>7179</v>
      </c>
      <c r="J33" s="30">
        <v>3807</v>
      </c>
      <c r="K33" s="33">
        <f>4810+L33</f>
        <v>17265</v>
      </c>
      <c r="L33" s="31">
        <f>4198+M33</f>
        <v>12455</v>
      </c>
      <c r="M33" s="31">
        <f>4147+N33</f>
        <v>8257</v>
      </c>
      <c r="N33" s="31">
        <v>4110</v>
      </c>
      <c r="O33" s="8">
        <v>17028</v>
      </c>
      <c r="P33" s="8">
        <v>16495</v>
      </c>
    </row>
    <row r="34" spans="1:16" ht="11.25">
      <c r="A34" s="29" t="s">
        <v>27</v>
      </c>
      <c r="C34" s="38">
        <v>6011</v>
      </c>
      <c r="D34" s="30">
        <v>5015</v>
      </c>
      <c r="E34" s="31">
        <v>3411</v>
      </c>
      <c r="F34" s="32">
        <v>1699</v>
      </c>
      <c r="G34" s="39">
        <v>7068</v>
      </c>
      <c r="H34" s="30">
        <f>I34+1734</f>
        <v>5612</v>
      </c>
      <c r="I34" s="30">
        <f>J34+1696</f>
        <v>3878</v>
      </c>
      <c r="J34" s="30">
        <v>2182</v>
      </c>
      <c r="K34" s="33">
        <f>3032+L34</f>
        <v>10362</v>
      </c>
      <c r="L34" s="31">
        <f>2485+M34</f>
        <v>7330</v>
      </c>
      <c r="M34" s="31">
        <f>2459+N34</f>
        <v>4845</v>
      </c>
      <c r="N34" s="31">
        <v>2386</v>
      </c>
      <c r="O34" s="8">
        <v>9884</v>
      </c>
      <c r="P34" s="8">
        <v>8680</v>
      </c>
    </row>
    <row r="35" spans="1:16" ht="11.25">
      <c r="A35" s="29" t="s">
        <v>28</v>
      </c>
      <c r="C35" s="40">
        <f aca="true" t="shared" si="9" ref="C35:P35">C33-C34</f>
        <v>5583</v>
      </c>
      <c r="D35" s="31">
        <f t="shared" si="9"/>
        <v>4613</v>
      </c>
      <c r="E35" s="31">
        <f t="shared" si="9"/>
        <v>3147</v>
      </c>
      <c r="F35" s="32">
        <f t="shared" si="9"/>
        <v>1523</v>
      </c>
      <c r="G35" s="30">
        <f t="shared" si="9"/>
        <v>6778</v>
      </c>
      <c r="H35" s="30">
        <f t="shared" si="9"/>
        <v>5009</v>
      </c>
      <c r="I35" s="30">
        <f t="shared" si="9"/>
        <v>3301</v>
      </c>
      <c r="J35" s="30">
        <f t="shared" si="9"/>
        <v>1625</v>
      </c>
      <c r="K35" s="33">
        <f t="shared" si="9"/>
        <v>6903</v>
      </c>
      <c r="L35" s="31">
        <f t="shared" si="9"/>
        <v>5125</v>
      </c>
      <c r="M35" s="31">
        <f t="shared" si="9"/>
        <v>3412</v>
      </c>
      <c r="N35" s="31">
        <f t="shared" si="9"/>
        <v>1724</v>
      </c>
      <c r="O35" s="8">
        <f t="shared" si="9"/>
        <v>7144</v>
      </c>
      <c r="P35" s="8">
        <f t="shared" si="9"/>
        <v>7815</v>
      </c>
    </row>
    <row r="36" spans="1:16" ht="11.25">
      <c r="A36" s="29" t="s">
        <v>29</v>
      </c>
      <c r="C36" s="38">
        <v>10208</v>
      </c>
      <c r="D36" s="30">
        <v>1841</v>
      </c>
      <c r="E36" s="31">
        <v>1100</v>
      </c>
      <c r="F36" s="32">
        <v>521</v>
      </c>
      <c r="G36" s="39">
        <v>5805</v>
      </c>
      <c r="H36" s="30">
        <f>I36+553</f>
        <v>3127</v>
      </c>
      <c r="I36" s="30">
        <f>J36+2059</f>
        <v>2574</v>
      </c>
      <c r="J36" s="30">
        <v>515</v>
      </c>
      <c r="K36" s="33">
        <f>3677+L36</f>
        <v>5264</v>
      </c>
      <c r="L36" s="31">
        <f>532+M36</f>
        <v>1587</v>
      </c>
      <c r="M36" s="31">
        <f>553+N36</f>
        <v>1055</v>
      </c>
      <c r="N36" s="31">
        <v>502</v>
      </c>
      <c r="O36" s="8">
        <v>4554</v>
      </c>
      <c r="P36" s="8">
        <v>3263</v>
      </c>
    </row>
    <row r="37" spans="1:16" ht="11.25">
      <c r="A37" s="29" t="s">
        <v>30</v>
      </c>
      <c r="C37" s="40">
        <f aca="true" t="shared" si="10" ref="C37:P37">C35+C36</f>
        <v>15791</v>
      </c>
      <c r="D37" s="31">
        <f t="shared" si="10"/>
        <v>6454</v>
      </c>
      <c r="E37" s="31">
        <f t="shared" si="10"/>
        <v>4247</v>
      </c>
      <c r="F37" s="32">
        <f t="shared" si="10"/>
        <v>2044</v>
      </c>
      <c r="G37" s="30">
        <f t="shared" si="10"/>
        <v>12583</v>
      </c>
      <c r="H37" s="30">
        <f t="shared" si="10"/>
        <v>8136</v>
      </c>
      <c r="I37" s="30">
        <f t="shared" si="10"/>
        <v>5875</v>
      </c>
      <c r="J37" s="30">
        <f t="shared" si="10"/>
        <v>2140</v>
      </c>
      <c r="K37" s="33">
        <f t="shared" si="10"/>
        <v>12167</v>
      </c>
      <c r="L37" s="31">
        <f t="shared" si="10"/>
        <v>6712</v>
      </c>
      <c r="M37" s="31">
        <f t="shared" si="10"/>
        <v>4467</v>
      </c>
      <c r="N37" s="31">
        <f t="shared" si="10"/>
        <v>2226</v>
      </c>
      <c r="O37" s="8">
        <f t="shared" si="10"/>
        <v>11698</v>
      </c>
      <c r="P37" s="8">
        <f t="shared" si="10"/>
        <v>11078</v>
      </c>
    </row>
    <row r="38" spans="1:16" ht="11.25">
      <c r="A38" s="29" t="s">
        <v>31</v>
      </c>
      <c r="C38" s="38">
        <v>10461</v>
      </c>
      <c r="D38" s="30">
        <v>7814</v>
      </c>
      <c r="E38" s="31">
        <v>6315</v>
      </c>
      <c r="F38" s="32">
        <v>1484</v>
      </c>
      <c r="G38" s="39">
        <v>7936</v>
      </c>
      <c r="H38" s="30">
        <f>I38+1683</f>
        <v>4954</v>
      </c>
      <c r="I38" s="30">
        <f>J38+1623</f>
        <v>3271</v>
      </c>
      <c r="J38" s="30">
        <v>1648</v>
      </c>
      <c r="K38" s="33">
        <f>685+L38</f>
        <v>5985</v>
      </c>
      <c r="L38" s="31">
        <f>1667+M38</f>
        <v>5300</v>
      </c>
      <c r="M38" s="31">
        <f>1782+N38</f>
        <v>3633</v>
      </c>
      <c r="N38" s="31">
        <v>1851</v>
      </c>
      <c r="O38" s="8">
        <v>6373</v>
      </c>
      <c r="P38" s="8">
        <v>7097</v>
      </c>
    </row>
    <row r="39" spans="1:16" ht="11.25">
      <c r="A39" s="29" t="s">
        <v>32</v>
      </c>
      <c r="C39" s="40">
        <f aca="true" t="shared" si="11" ref="C39:P39">C37-C38</f>
        <v>5330</v>
      </c>
      <c r="D39" s="31">
        <f t="shared" si="11"/>
        <v>-1360</v>
      </c>
      <c r="E39" s="31">
        <f t="shared" si="11"/>
        <v>-2068</v>
      </c>
      <c r="F39" s="32">
        <f t="shared" si="11"/>
        <v>560</v>
      </c>
      <c r="G39" s="30">
        <f t="shared" si="11"/>
        <v>4647</v>
      </c>
      <c r="H39" s="30">
        <f t="shared" si="11"/>
        <v>3182</v>
      </c>
      <c r="I39" s="30">
        <f t="shared" si="11"/>
        <v>2604</v>
      </c>
      <c r="J39" s="30">
        <f t="shared" si="11"/>
        <v>492</v>
      </c>
      <c r="K39" s="33">
        <f t="shared" si="11"/>
        <v>6182</v>
      </c>
      <c r="L39" s="31">
        <f t="shared" si="11"/>
        <v>1412</v>
      </c>
      <c r="M39" s="31">
        <f t="shared" si="11"/>
        <v>834</v>
      </c>
      <c r="N39" s="31">
        <f t="shared" si="11"/>
        <v>375</v>
      </c>
      <c r="O39" s="8">
        <f t="shared" si="11"/>
        <v>5325</v>
      </c>
      <c r="P39" s="8">
        <f t="shared" si="11"/>
        <v>3981</v>
      </c>
    </row>
    <row r="40" spans="1:16" ht="11.25">
      <c r="A40" s="14" t="s">
        <v>33</v>
      </c>
      <c r="B40" s="14"/>
      <c r="C40" s="41">
        <v>320</v>
      </c>
      <c r="D40" s="34">
        <v>-1921</v>
      </c>
      <c r="E40" s="34">
        <v>-2068</v>
      </c>
      <c r="F40" s="35">
        <v>559</v>
      </c>
      <c r="G40" s="42">
        <v>298</v>
      </c>
      <c r="H40" s="34">
        <f>I40+578</f>
        <v>1732</v>
      </c>
      <c r="I40" s="34">
        <f>J40+662</f>
        <v>1154</v>
      </c>
      <c r="J40" s="34">
        <v>492</v>
      </c>
      <c r="K40" s="43">
        <f>-1608+L40</f>
        <v>-197</v>
      </c>
      <c r="L40" s="34">
        <f>578+M40</f>
        <v>1411</v>
      </c>
      <c r="M40" s="34">
        <f>459+N40</f>
        <v>833</v>
      </c>
      <c r="N40" s="34">
        <v>374</v>
      </c>
      <c r="O40" s="9">
        <v>909</v>
      </c>
      <c r="P40" s="9">
        <v>3647</v>
      </c>
    </row>
    <row r="41" spans="1:16" ht="11.25">
      <c r="A41" s="23" t="s">
        <v>34</v>
      </c>
      <c r="E41" s="31"/>
      <c r="F41" s="32"/>
      <c r="H41" s="30"/>
      <c r="I41" s="30"/>
      <c r="K41" s="33"/>
      <c r="L41" s="31"/>
      <c r="M41" s="31"/>
      <c r="N41" s="31"/>
      <c r="O41" s="8"/>
      <c r="P41" s="8"/>
    </row>
    <row r="42" spans="1:16" ht="11.25">
      <c r="A42" s="29" t="s">
        <v>35</v>
      </c>
      <c r="C42" s="30">
        <v>0</v>
      </c>
      <c r="D42" s="44">
        <v>9075</v>
      </c>
      <c r="E42" s="31">
        <v>15538</v>
      </c>
      <c r="F42" s="32">
        <v>13184</v>
      </c>
      <c r="G42" s="30">
        <v>13879</v>
      </c>
      <c r="H42" s="30">
        <v>18166</v>
      </c>
      <c r="I42" s="30">
        <v>17939</v>
      </c>
      <c r="J42" s="30">
        <v>11366</v>
      </c>
      <c r="K42" s="33">
        <v>6320</v>
      </c>
      <c r="L42" s="31">
        <v>4999</v>
      </c>
      <c r="M42" s="31">
        <v>5951</v>
      </c>
      <c r="N42" s="31">
        <v>11990</v>
      </c>
      <c r="O42" s="8">
        <v>12772</v>
      </c>
      <c r="P42" s="8">
        <v>1382</v>
      </c>
    </row>
    <row r="43" spans="1:16" ht="11.25">
      <c r="A43" s="29" t="s">
        <v>36</v>
      </c>
      <c r="C43" s="30">
        <v>0</v>
      </c>
      <c r="D43" s="44">
        <v>5421</v>
      </c>
      <c r="E43" s="31">
        <v>5081</v>
      </c>
      <c r="F43" s="32">
        <v>5129</v>
      </c>
      <c r="G43" s="30">
        <v>4995</v>
      </c>
      <c r="H43" s="30">
        <v>6141</v>
      </c>
      <c r="I43" s="30">
        <v>6152</v>
      </c>
      <c r="J43" s="30">
        <v>6572</v>
      </c>
      <c r="K43" s="33">
        <v>6602</v>
      </c>
      <c r="L43" s="31">
        <v>5352</v>
      </c>
      <c r="M43" s="31">
        <v>5373</v>
      </c>
      <c r="N43" s="31">
        <v>5422</v>
      </c>
      <c r="O43" s="8">
        <v>5447</v>
      </c>
      <c r="P43" s="8">
        <v>3357</v>
      </c>
    </row>
    <row r="44" spans="1:16" ht="11.25">
      <c r="A44" s="29" t="s">
        <v>37</v>
      </c>
      <c r="C44" s="45">
        <v>0</v>
      </c>
      <c r="D44" s="45">
        <f aca="true" t="shared" si="12" ref="D44:P44">D42/D12</f>
        <v>0.050617166888843025</v>
      </c>
      <c r="E44" s="45">
        <f t="shared" si="12"/>
        <v>0.08721863598091496</v>
      </c>
      <c r="F44" s="46">
        <f t="shared" si="12"/>
        <v>0.07162881669020972</v>
      </c>
      <c r="G44" s="47">
        <f t="shared" si="12"/>
        <v>0.07085894582065473</v>
      </c>
      <c r="H44" s="47">
        <f t="shared" si="12"/>
        <v>0.10467481431543041</v>
      </c>
      <c r="I44" s="47">
        <f t="shared" si="12"/>
        <v>0.11393747697623312</v>
      </c>
      <c r="J44" s="47">
        <f t="shared" si="12"/>
        <v>0.07804764160984419</v>
      </c>
      <c r="K44" s="48">
        <f t="shared" si="12"/>
        <v>0.04306321161616506</v>
      </c>
      <c r="L44" s="45">
        <f t="shared" si="12"/>
        <v>0.030686784854883856</v>
      </c>
      <c r="M44" s="45">
        <f t="shared" si="12"/>
        <v>0.03647697739420389</v>
      </c>
      <c r="N44" s="45">
        <f t="shared" si="12"/>
        <v>0.08152968455695858</v>
      </c>
      <c r="O44" s="10">
        <f t="shared" si="12"/>
        <v>0.08245692187510087</v>
      </c>
      <c r="P44" s="10">
        <f t="shared" si="12"/>
        <v>0.009371016300957444</v>
      </c>
    </row>
    <row r="45" spans="1:16" ht="11.25">
      <c r="A45" s="29" t="s">
        <v>38</v>
      </c>
      <c r="C45" s="45">
        <v>0</v>
      </c>
      <c r="D45" s="45">
        <f aca="true" t="shared" si="13" ref="D45:P45">D43/D42</f>
        <v>0.5973553719008264</v>
      </c>
      <c r="E45" s="45">
        <f t="shared" si="13"/>
        <v>0.32700476251769856</v>
      </c>
      <c r="F45" s="46">
        <f t="shared" si="13"/>
        <v>0.38903216019417475</v>
      </c>
      <c r="G45" s="47">
        <f t="shared" si="13"/>
        <v>0.3598962461272426</v>
      </c>
      <c r="H45" s="47">
        <f t="shared" si="13"/>
        <v>0.33804910271936583</v>
      </c>
      <c r="I45" s="47">
        <f t="shared" si="13"/>
        <v>0.34293996320865155</v>
      </c>
      <c r="J45" s="47">
        <f t="shared" si="13"/>
        <v>0.5782157311279253</v>
      </c>
      <c r="K45" s="48">
        <f t="shared" si="13"/>
        <v>1.044620253164557</v>
      </c>
      <c r="L45" s="45">
        <f t="shared" si="13"/>
        <v>1.070614122824565</v>
      </c>
      <c r="M45" s="45">
        <f t="shared" si="13"/>
        <v>0.9028734666442615</v>
      </c>
      <c r="N45" s="45">
        <f t="shared" si="13"/>
        <v>0.45221017514595496</v>
      </c>
      <c r="O45" s="10">
        <f t="shared" si="13"/>
        <v>0.42647979956154086</v>
      </c>
      <c r="P45" s="10">
        <f t="shared" si="13"/>
        <v>2.4290882778581766</v>
      </c>
    </row>
    <row r="46" spans="1:16" ht="11.25">
      <c r="A46" s="14" t="s">
        <v>39</v>
      </c>
      <c r="B46" s="14"/>
      <c r="C46" s="49">
        <v>0</v>
      </c>
      <c r="D46" s="49">
        <f aca="true" t="shared" si="14" ref="D46:P46">D43/D12</f>
        <v>0.030236436551451026</v>
      </c>
      <c r="E46" s="49">
        <f t="shared" si="14"/>
        <v>0.028520909346056694</v>
      </c>
      <c r="F46" s="50">
        <f t="shared" si="14"/>
        <v>0.027865913289144843</v>
      </c>
      <c r="G46" s="49">
        <f t="shared" si="14"/>
        <v>0.025501868605387303</v>
      </c>
      <c r="H46" s="49">
        <f t="shared" si="14"/>
        <v>0.03538522705664748</v>
      </c>
      <c r="I46" s="49">
        <f t="shared" si="14"/>
        <v>0.03907371416231597</v>
      </c>
      <c r="J46" s="49">
        <f t="shared" si="14"/>
        <v>0.045128374156246355</v>
      </c>
      <c r="K46" s="51">
        <f t="shared" si="14"/>
        <v>0.04498470302055723</v>
      </c>
      <c r="L46" s="49">
        <f t="shared" si="14"/>
        <v>0.032853705249717625</v>
      </c>
      <c r="M46" s="49">
        <f t="shared" si="14"/>
        <v>0.03293409503260923</v>
      </c>
      <c r="N46" s="49">
        <f t="shared" si="14"/>
        <v>0.0368685529330967</v>
      </c>
      <c r="O46" s="11">
        <f t="shared" si="14"/>
        <v>0.03516621151375466</v>
      </c>
      <c r="P46" s="11">
        <f t="shared" si="14"/>
        <v>0.022763025848273617</v>
      </c>
    </row>
    <row r="47" spans="1:16" ht="11.25">
      <c r="A47" s="23" t="s">
        <v>40</v>
      </c>
      <c r="E47" s="15"/>
      <c r="F47" s="32"/>
      <c r="K47" s="37"/>
      <c r="L47" s="15"/>
      <c r="M47" s="15"/>
      <c r="N47" s="15"/>
      <c r="O47" s="7"/>
      <c r="P47" s="7"/>
    </row>
    <row r="48" spans="1:16" ht="11.25">
      <c r="A48" s="29" t="s">
        <v>41</v>
      </c>
      <c r="C48" s="45">
        <v>0</v>
      </c>
      <c r="D48" s="45">
        <f aca="true" t="shared" si="15" ref="D48:P48">D25/(D12+D15)</f>
        <v>0.08789482257615326</v>
      </c>
      <c r="E48" s="45">
        <f t="shared" si="15"/>
        <v>0.0963653564614417</v>
      </c>
      <c r="F48" s="46">
        <f t="shared" si="15"/>
        <v>0.10673588379705401</v>
      </c>
      <c r="G48" s="47">
        <f t="shared" si="15"/>
        <v>0.09793416725336831</v>
      </c>
      <c r="H48" s="47">
        <f t="shared" si="15"/>
        <v>0.1174811573061026</v>
      </c>
      <c r="I48" s="47">
        <f t="shared" si="15"/>
        <v>0.12750004505938828</v>
      </c>
      <c r="J48" s="47">
        <f t="shared" si="15"/>
        <v>0.13210820535886397</v>
      </c>
      <c r="K48" s="48">
        <f t="shared" si="15"/>
        <v>0.1282759941277845</v>
      </c>
      <c r="L48" s="45">
        <f t="shared" si="15"/>
        <v>0.12559240334928506</v>
      </c>
      <c r="M48" s="45">
        <f t="shared" si="15"/>
        <v>0.12254666751455379</v>
      </c>
      <c r="N48" s="45">
        <f t="shared" si="15"/>
        <v>0.13779565197993612</v>
      </c>
      <c r="O48" s="10">
        <f t="shared" si="15"/>
        <v>0.13340888018955394</v>
      </c>
      <c r="P48" s="10">
        <f t="shared" si="15"/>
        <v>0.1510984446688052</v>
      </c>
    </row>
    <row r="49" spans="1:16" ht="11.25">
      <c r="A49" s="14" t="s">
        <v>42</v>
      </c>
      <c r="B49" s="14"/>
      <c r="C49" s="49">
        <f>C25/C10</f>
        <v>0.9621165955718058</v>
      </c>
      <c r="D49" s="49">
        <f>D25/D10</f>
        <v>0.0665496964343972</v>
      </c>
      <c r="E49" s="49">
        <f>E25/E10</f>
        <v>0.06470673825941607</v>
      </c>
      <c r="F49" s="50">
        <f>F25/F10</f>
        <v>0.0771460151637814</v>
      </c>
      <c r="G49" s="49">
        <f>G25/G12</f>
        <v>0.10368717707844058</v>
      </c>
      <c r="H49" s="49">
        <f aca="true" t="shared" si="16" ref="H49:P49">H25/H10</f>
        <v>0.09339564291114012</v>
      </c>
      <c r="I49" s="49">
        <f t="shared" si="16"/>
        <v>0.09769503790965212</v>
      </c>
      <c r="J49" s="49">
        <f t="shared" si="16"/>
        <v>0.0990389941954286</v>
      </c>
      <c r="K49" s="51">
        <f t="shared" si="16"/>
        <v>0.08208754043721204</v>
      </c>
      <c r="L49" s="49">
        <f t="shared" si="16"/>
        <v>0.08895045512108557</v>
      </c>
      <c r="M49" s="49">
        <f t="shared" si="16"/>
        <v>0.09288894342003785</v>
      </c>
      <c r="N49" s="49">
        <f t="shared" si="16"/>
        <v>0.1017584155433391</v>
      </c>
      <c r="O49" s="11">
        <f t="shared" si="16"/>
        <v>0.09546047810457942</v>
      </c>
      <c r="P49" s="11">
        <f t="shared" si="16"/>
        <v>0.08690091619717534</v>
      </c>
    </row>
    <row r="50" spans="1:16" ht="11.25">
      <c r="A50" s="23" t="s">
        <v>43</v>
      </c>
      <c r="E50" s="15"/>
      <c r="F50" s="52"/>
      <c r="J50" s="53"/>
      <c r="K50" s="54"/>
      <c r="L50" s="55"/>
      <c r="M50" s="55"/>
      <c r="N50" s="55"/>
      <c r="O50" s="12"/>
      <c r="P50" s="12"/>
    </row>
    <row r="51" spans="1:16" ht="11.25">
      <c r="A51" s="29" t="s">
        <v>44</v>
      </c>
      <c r="C51" s="55">
        <v>0</v>
      </c>
      <c r="D51" s="55">
        <f aca="true" t="shared" si="17" ref="D51:P51">D11/D16</f>
        <v>0.23581770764104373</v>
      </c>
      <c r="E51" s="55">
        <f t="shared" si="17"/>
        <v>0.345606455557701</v>
      </c>
      <c r="F51" s="56">
        <f t="shared" si="17"/>
        <v>0.27108317834925927</v>
      </c>
      <c r="G51" s="53">
        <f t="shared" si="17"/>
        <v>0.23728649459832343</v>
      </c>
      <c r="H51" s="53">
        <f t="shared" si="17"/>
        <v>0.185659751556682</v>
      </c>
      <c r="I51" s="53">
        <f t="shared" si="17"/>
        <v>0.22279531249133433</v>
      </c>
      <c r="J51" s="53">
        <f t="shared" si="17"/>
        <v>0.25034841884902237</v>
      </c>
      <c r="K51" s="54">
        <f t="shared" si="17"/>
        <v>0.38576889296977923</v>
      </c>
      <c r="L51" s="55">
        <f t="shared" si="17"/>
        <v>0.30477664836234764</v>
      </c>
      <c r="M51" s="55">
        <f t="shared" si="17"/>
        <v>0.23573768112937665</v>
      </c>
      <c r="N51" s="55">
        <f t="shared" si="17"/>
        <v>0.2567796899736899</v>
      </c>
      <c r="O51" s="12">
        <f t="shared" si="17"/>
        <v>0.27160196414109833</v>
      </c>
      <c r="P51" s="12">
        <f t="shared" si="17"/>
        <v>0.45046548170175377</v>
      </c>
    </row>
    <row r="52" spans="1:16" ht="11.25">
      <c r="A52" s="29" t="s">
        <v>45</v>
      </c>
      <c r="C52" s="55">
        <f aca="true" t="shared" si="18" ref="C52:P52">C11/C10</f>
        <v>0.9638939670932358</v>
      </c>
      <c r="D52" s="55">
        <f t="shared" si="18"/>
        <v>0.20469790647155714</v>
      </c>
      <c r="E52" s="55">
        <f t="shared" si="18"/>
        <v>0.30490206864244673</v>
      </c>
      <c r="F52" s="56">
        <f t="shared" si="18"/>
        <v>0.23438799614066608</v>
      </c>
      <c r="G52" s="53">
        <f t="shared" si="18"/>
        <v>0.21011119961992805</v>
      </c>
      <c r="H52" s="53">
        <f t="shared" si="18"/>
        <v>0.15291474812727648</v>
      </c>
      <c r="I52" s="53">
        <f t="shared" si="18"/>
        <v>0.18493097082775162</v>
      </c>
      <c r="J52" s="53">
        <f t="shared" si="18"/>
        <v>0.20680652231508467</v>
      </c>
      <c r="K52" s="54">
        <f t="shared" si="18"/>
        <v>0.3157574420808417</v>
      </c>
      <c r="L52" s="55">
        <f t="shared" si="18"/>
        <v>0.25658091565198504</v>
      </c>
      <c r="M52" s="55">
        <f t="shared" si="18"/>
        <v>0.19932254785108322</v>
      </c>
      <c r="N52" s="55">
        <f t="shared" si="18"/>
        <v>0.2122241885684163</v>
      </c>
      <c r="O52" s="12">
        <f t="shared" si="18"/>
        <v>0.22976857934515368</v>
      </c>
      <c r="P52" s="12">
        <f t="shared" si="18"/>
        <v>0.39192879167080114</v>
      </c>
    </row>
    <row r="53" spans="1:16" ht="11.25">
      <c r="A53" s="14" t="s">
        <v>46</v>
      </c>
      <c r="B53" s="14"/>
      <c r="C53" s="57">
        <v>0</v>
      </c>
      <c r="D53" s="57">
        <f aca="true" t="shared" si="19" ref="D53:P53">(D11+D15)/D16</f>
        <v>0.2863271563913703</v>
      </c>
      <c r="E53" s="57">
        <f t="shared" si="19"/>
        <v>0.39008495848619423</v>
      </c>
      <c r="F53" s="58">
        <f t="shared" si="19"/>
        <v>0.32007952286282304</v>
      </c>
      <c r="G53" s="57">
        <f t="shared" si="19"/>
        <v>0.28370299250461906</v>
      </c>
      <c r="H53" s="57">
        <f t="shared" si="19"/>
        <v>0.24583059545042085</v>
      </c>
      <c r="I53" s="57">
        <f t="shared" si="19"/>
        <v>0.272715172287573</v>
      </c>
      <c r="J53" s="57">
        <f t="shared" si="19"/>
        <v>0.30866702820589076</v>
      </c>
      <c r="K53" s="59">
        <f t="shared" si="19"/>
        <v>0.43521697472953014</v>
      </c>
      <c r="L53" s="57">
        <f t="shared" si="19"/>
        <v>0.3530153444717062</v>
      </c>
      <c r="M53" s="57">
        <f t="shared" si="19"/>
        <v>0.2867078504944132</v>
      </c>
      <c r="N53" s="57">
        <f t="shared" si="19"/>
        <v>0.31279399537580155</v>
      </c>
      <c r="O53" s="13">
        <f t="shared" si="19"/>
        <v>0.3235040851264493</v>
      </c>
      <c r="P53" s="13">
        <f t="shared" si="19"/>
        <v>0.4885572601628764</v>
      </c>
    </row>
    <row r="54" spans="1:16" ht="11.25">
      <c r="A54" s="23" t="s">
        <v>47</v>
      </c>
      <c r="E54" s="15"/>
      <c r="F54" s="32"/>
      <c r="K54" s="37"/>
      <c r="L54" s="15"/>
      <c r="M54" s="15"/>
      <c r="N54" s="15"/>
      <c r="O54" s="7"/>
      <c r="P54" s="7"/>
    </row>
    <row r="55" spans="1:16" ht="11.25">
      <c r="A55" s="29" t="s">
        <v>48</v>
      </c>
      <c r="B55" s="15"/>
      <c r="C55" s="45">
        <f>(C40)/C28</f>
        <v>0.003086211386191133</v>
      </c>
      <c r="D55" s="45">
        <f>(D40/0.75)/D28</f>
        <v>-0.013646179637996194</v>
      </c>
      <c r="E55" s="45">
        <f>(E40/0.5)/E28</f>
        <v>-0.02325856028612078</v>
      </c>
      <c r="F55" s="46">
        <f>(F40/0.25)/F28</f>
        <v>0.012735298305567421</v>
      </c>
      <c r="G55" s="60">
        <f>G40/G28</f>
        <v>0.001637164738328334</v>
      </c>
      <c r="H55" s="60">
        <f>(H40/0.75)/H28</f>
        <v>0.012904980376159315</v>
      </c>
      <c r="I55" s="47">
        <f>(I40/0.5)/I28</f>
        <v>0.013599429625308608</v>
      </c>
      <c r="J55" s="47">
        <f>((J40)/0.25)/J28</f>
        <v>0.012594031273897782</v>
      </c>
      <c r="K55" s="61">
        <f>K40/K28</f>
        <v>-0.0012247854294054196</v>
      </c>
      <c r="L55" s="60">
        <f>(L40/0.75)/L28</f>
        <v>0.011491865697473173</v>
      </c>
      <c r="M55" s="60">
        <f>(M40/0.5)/M28</f>
        <v>0.01016244044968494</v>
      </c>
      <c r="N55" s="45">
        <f>((N40)/0.25)/N28</f>
        <v>0.009705588498618122</v>
      </c>
      <c r="O55" s="10">
        <f>O40/O28</f>
        <v>0.005654514747459667</v>
      </c>
      <c r="P55" s="10">
        <f>P40/P28</f>
        <v>0.023291161875810273</v>
      </c>
    </row>
    <row r="56" spans="1:16" ht="11.25">
      <c r="A56" s="29" t="s">
        <v>49</v>
      </c>
      <c r="B56" s="15"/>
      <c r="C56" s="45">
        <f>(C40)/C27</f>
        <v>0.0021359035372564986</v>
      </c>
      <c r="D56" s="45">
        <f>(D40/0.75)/D27</f>
        <v>-0.010580480638023361</v>
      </c>
      <c r="E56" s="45">
        <f>(E40/0.5)/E27</f>
        <v>-0.01657695498651319</v>
      </c>
      <c r="F56" s="46">
        <f>(F40/0.25)/F27</f>
        <v>0.00935353518451898</v>
      </c>
      <c r="G56" s="60">
        <f>G40/G27</f>
        <v>0.0011357334913705216</v>
      </c>
      <c r="H56" s="60">
        <f>(H40/0.75)/H27</f>
        <v>0.009686455530458576</v>
      </c>
      <c r="I56" s="47">
        <f>(I40/0.5)/I27</f>
        <v>0.010362903678426707</v>
      </c>
      <c r="J56" s="47">
        <f>((J40)/0.25)/J27</f>
        <v>0.00937011229374921</v>
      </c>
      <c r="K56" s="61">
        <f>K40/K27</f>
        <v>-0.0008287008116640691</v>
      </c>
      <c r="L56" s="60">
        <f>(L40/0.75)/L27</f>
        <v>0.007496143351124056</v>
      </c>
      <c r="M56" s="60">
        <f>(M40/0.5)/M27</f>
        <v>0.0067828490816079345</v>
      </c>
      <c r="N56" s="45">
        <f>((N40)/0.25)/N27</f>
        <v>0.006394515079044498</v>
      </c>
      <c r="O56" s="10">
        <f>O40/O27</f>
        <v>0.0036163127931540693</v>
      </c>
      <c r="P56" s="10">
        <f>P40/P27</f>
        <v>0.014329355139727912</v>
      </c>
    </row>
    <row r="57" spans="1:16" ht="11.25">
      <c r="A57" s="29" t="s">
        <v>50</v>
      </c>
      <c r="B57" s="15"/>
      <c r="C57" s="45">
        <f>(C40)/C31</f>
        <v>0.016303655585275762</v>
      </c>
      <c r="D57" s="45">
        <f>(D40/0.75)/D31</f>
        <v>-0.13315657681543674</v>
      </c>
      <c r="E57" s="45">
        <f>(E40/0.5)/E31</f>
        <v>-0.20965657077683436</v>
      </c>
      <c r="F57" s="46">
        <f>(F40/0.25)/F31</f>
        <v>0.10794371092712834</v>
      </c>
      <c r="G57" s="60">
        <f>+G40/G31</f>
        <v>0.014750284611196356</v>
      </c>
      <c r="H57" s="60">
        <f>(H40/0.75)/H31</f>
        <v>0.10630332044436262</v>
      </c>
      <c r="I57" s="47">
        <f>(I40/0.5)/I31</f>
        <v>0.10881659594530882</v>
      </c>
      <c r="J57" s="47">
        <f>((J40)/0.25)/J31</f>
        <v>0.09331436699857752</v>
      </c>
      <c r="K57" s="61">
        <f>+K40/K31</f>
        <v>-0.009356003039513679</v>
      </c>
      <c r="L57" s="60">
        <f>(L40/0.75)/L31</f>
        <v>0.08658965035823322</v>
      </c>
      <c r="M57" s="60">
        <f>(M40/0.5)/M31</f>
        <v>0.0801771018817075</v>
      </c>
      <c r="N57" s="45">
        <f>((N40)/0.25)/N31</f>
        <v>0.06541463521283807</v>
      </c>
      <c r="O57" s="10">
        <f>O40/O31</f>
        <v>0.03981515954534504</v>
      </c>
      <c r="P57" s="10">
        <f>P40/P31</f>
        <v>0.1595328186172656</v>
      </c>
    </row>
    <row r="58" spans="1:16" ht="11.25">
      <c r="A58" s="29" t="s">
        <v>51</v>
      </c>
      <c r="B58" s="15"/>
      <c r="C58" s="45">
        <f>(C33)/C28</f>
        <v>0.11181729628593748</v>
      </c>
      <c r="D58" s="45">
        <f>(D33/0.75)/D28</f>
        <v>0.06839428295399654</v>
      </c>
      <c r="E58" s="45">
        <f>(E33/0.5)/E28</f>
        <v>0.07375707850888785</v>
      </c>
      <c r="F58" s="46">
        <f>(F33/0.25)/F28</f>
        <v>0.07340452797949594</v>
      </c>
      <c r="G58" s="60">
        <f>G33/G28</f>
        <v>0.07606772807682588</v>
      </c>
      <c r="H58" s="60">
        <f>(H33/0.75)/H28</f>
        <v>0.0791361412096929</v>
      </c>
      <c r="I58" s="47">
        <f>(I33/0.5)/I28</f>
        <v>0.08460165102260876</v>
      </c>
      <c r="J58" s="47">
        <f>((J33)/0.25)/J28</f>
        <v>0.09745015662546516</v>
      </c>
      <c r="K58" s="61">
        <f>K33/K28</f>
        <v>0.1073396976582973</v>
      </c>
      <c r="L58" s="60">
        <f>(L33/0.75)/L28</f>
        <v>0.10143953739335818</v>
      </c>
      <c r="M58" s="60">
        <f>(M33/0.5)/M28</f>
        <v>0.10073381847904989</v>
      </c>
      <c r="N58" s="45">
        <f>((N33)/0.25)/N28</f>
        <v>0.10665767039925261</v>
      </c>
      <c r="O58" s="10">
        <f>O33/O28</f>
        <v>0.10592417724944247</v>
      </c>
      <c r="P58" s="10">
        <f>P33/P27</f>
        <v>0.06481017631746967</v>
      </c>
    </row>
    <row r="59" spans="1:16" ht="11.25">
      <c r="A59" s="29" t="s">
        <v>52</v>
      </c>
      <c r="B59" s="15"/>
      <c r="C59" s="45">
        <f>(C34)/C28</f>
        <v>0.057972552007484066</v>
      </c>
      <c r="D59" s="45">
        <f>(D34/0.75)/D28</f>
        <v>0.03562498224078652</v>
      </c>
      <c r="E59" s="45">
        <f>(E34/0.5)/E28</f>
        <v>0.03836312820887717</v>
      </c>
      <c r="F59" s="46">
        <f>(F34/0.25)/F28</f>
        <v>0.03870710522568703</v>
      </c>
      <c r="G59" s="60">
        <f>G34/G28</f>
        <v>0.03883047104196196</v>
      </c>
      <c r="H59" s="60">
        <f>(H34/0.75)/H28</f>
        <v>0.04181452071074254</v>
      </c>
      <c r="I59" s="47">
        <f>(I34/0.5)/I28</f>
        <v>0.04570068291763153</v>
      </c>
      <c r="J59" s="47">
        <f>((J34)/0.25)/J28</f>
        <v>0.055854016747245855</v>
      </c>
      <c r="K59" s="61">
        <f>K34/K28</f>
        <v>0.0644224701497409</v>
      </c>
      <c r="L59" s="60">
        <f>(L34/0.75)/L28</f>
        <v>0.059699061348319184</v>
      </c>
      <c r="M59" s="60">
        <f>(M34/0.5)/M28</f>
        <v>0.05910807200326955</v>
      </c>
      <c r="N59" s="45">
        <f>((N34)/0.25)/N28</f>
        <v>0.061918540528617214</v>
      </c>
      <c r="O59" s="10">
        <f>O34/O28</f>
        <v>0.06148429456973746</v>
      </c>
      <c r="P59" s="10">
        <f>P34/P27</f>
        <v>0.034104415303767004</v>
      </c>
    </row>
    <row r="60" spans="1:16" ht="11.25">
      <c r="A60" s="29" t="s">
        <v>53</v>
      </c>
      <c r="B60" s="15"/>
      <c r="C60" s="45">
        <f>(C35)/C28</f>
        <v>0.05384474427845342</v>
      </c>
      <c r="D60" s="45">
        <f>(D35/0.75)/D28</f>
        <v>0.03276930071321001</v>
      </c>
      <c r="E60" s="45">
        <f>(E35/0.5)/E28</f>
        <v>0.03539395030001068</v>
      </c>
      <c r="F60" s="46">
        <f>(F35/0.25)/F28</f>
        <v>0.03469742275380892</v>
      </c>
      <c r="G60" s="60">
        <f>G35/G28</f>
        <v>0.03723725703486392</v>
      </c>
      <c r="H60" s="60">
        <f>(H35/0.75)/H28</f>
        <v>0.03732162049895035</v>
      </c>
      <c r="I60" s="47">
        <f>(I35/0.5)/I28</f>
        <v>0.03890096810497723</v>
      </c>
      <c r="J60" s="47">
        <f>((J35)/0.25)/J28</f>
        <v>0.0415961398782193</v>
      </c>
      <c r="K60" s="61">
        <f>K35/K28</f>
        <v>0.0429172275085564</v>
      </c>
      <c r="L60" s="60">
        <f>(L35/0.75)/L28</f>
        <v>0.04174047604503899</v>
      </c>
      <c r="M60" s="60">
        <f>(M35/0.5)/M28</f>
        <v>0.04162574647578033</v>
      </c>
      <c r="N60" s="45">
        <f>((N35)/0.25)/N28</f>
        <v>0.044739129870635407</v>
      </c>
      <c r="O60" s="10">
        <f>O35/O28</f>
        <v>0.04443988267970502</v>
      </c>
      <c r="P60" s="10">
        <f>P35/P27</f>
        <v>0.030705761013702666</v>
      </c>
    </row>
    <row r="61" spans="1:16" ht="11.25">
      <c r="A61" s="29" t="s">
        <v>54</v>
      </c>
      <c r="B61" s="15"/>
      <c r="C61" s="45">
        <f>(C38)/(C37)</f>
        <v>0.6624659616237097</v>
      </c>
      <c r="D61" s="45">
        <f>(D38/0.75)/(D37/0.75)</f>
        <v>1.210722032847846</v>
      </c>
      <c r="E61" s="45">
        <f>(E38/0.5)/(E37/0.5)</f>
        <v>1.4869319519660937</v>
      </c>
      <c r="F61" s="46">
        <f>(F38/0.25)/(F37/0.25)</f>
        <v>0.726027397260274</v>
      </c>
      <c r="G61" s="60">
        <f>G38/G37</f>
        <v>0.6306922037669872</v>
      </c>
      <c r="H61" s="60">
        <f>(H38/0.75)/(H37/0.75)</f>
        <v>0.6088987217305801</v>
      </c>
      <c r="I61" s="47">
        <f>(I38/0.5)/(I37/0.5)</f>
        <v>0.5567659574468085</v>
      </c>
      <c r="J61" s="47">
        <f>(J38/0.25)/(J37/0.25)</f>
        <v>0.7700934579439253</v>
      </c>
      <c r="K61" s="61">
        <f>K38/K37</f>
        <v>0.4919043313881811</v>
      </c>
      <c r="L61" s="60">
        <f>(L38/0.75)/(L37/0.75)</f>
        <v>0.7896305125148987</v>
      </c>
      <c r="M61" s="60">
        <f>(M38/0.5)/(M37/0.5)</f>
        <v>0.8132975151108126</v>
      </c>
      <c r="N61" s="45">
        <f>(N38/0.25)/(N37/0.25)</f>
        <v>0.8315363881401617</v>
      </c>
      <c r="O61" s="10">
        <f>O38/O37</f>
        <v>0.5447939818772439</v>
      </c>
      <c r="P61" s="10">
        <f>P38/P37</f>
        <v>0.6406391045315039</v>
      </c>
    </row>
    <row r="62" spans="1:16" ht="11.25">
      <c r="A62" s="14" t="s">
        <v>55</v>
      </c>
      <c r="B62" s="14"/>
      <c r="C62" s="49">
        <f>(C36)/C28</f>
        <v>0.09845014321949715</v>
      </c>
      <c r="D62" s="49">
        <f>(D36/0.75)/D28</f>
        <v>0.013077884806637683</v>
      </c>
      <c r="E62" s="49">
        <f>(E36/0.5)/E28</f>
        <v>0.01237157462027701</v>
      </c>
      <c r="F62" s="50">
        <f>(F36/0.25)/F28</f>
        <v>0.011869571408230101</v>
      </c>
      <c r="G62" s="62">
        <f>G36/G28</f>
        <v>0.03189174934897979</v>
      </c>
      <c r="H62" s="62">
        <f>(H36/0.75)/H28</f>
        <v>0.023299003254186015</v>
      </c>
      <c r="I62" s="49">
        <f>(I36/0.5)/I28</f>
        <v>0.030333563133054037</v>
      </c>
      <c r="J62" s="49">
        <f>(J36/0.25)/J28</f>
        <v>0.013182776638327964</v>
      </c>
      <c r="K62" s="63">
        <f>K36/K28</f>
        <v>0.032727261423300145</v>
      </c>
      <c r="L62" s="62">
        <f>(L36/0.75)/L28</f>
        <v>0.012925294728483293</v>
      </c>
      <c r="M62" s="62">
        <f>(M36/0.5)/M28</f>
        <v>0.012870797928472523</v>
      </c>
      <c r="N62" s="49">
        <f>(N36/0.25)/N28</f>
        <v>0.013027287236113093</v>
      </c>
      <c r="O62" s="11">
        <f>O36/O28</f>
        <v>0.02832855903182764</v>
      </c>
      <c r="P62" s="11">
        <f>P36/P27</f>
        <v>0.012820588379745592</v>
      </c>
    </row>
    <row r="63" spans="1:16" ht="11.25">
      <c r="A63" s="23" t="s">
        <v>56</v>
      </c>
      <c r="E63" s="15"/>
      <c r="F63" s="32"/>
      <c r="K63" s="37"/>
      <c r="L63" s="15"/>
      <c r="M63" s="15"/>
      <c r="N63" s="15"/>
      <c r="O63" s="7"/>
      <c r="P63" s="7"/>
    </row>
    <row r="64" spans="1:16" ht="11.25">
      <c r="A64" s="29" t="s">
        <v>57</v>
      </c>
      <c r="C64" s="30">
        <v>87</v>
      </c>
      <c r="D64" s="30">
        <v>85</v>
      </c>
      <c r="E64" s="15">
        <v>87</v>
      </c>
      <c r="F64" s="32">
        <v>85</v>
      </c>
      <c r="G64" s="29">
        <v>85</v>
      </c>
      <c r="H64" s="30">
        <v>84</v>
      </c>
      <c r="I64" s="30">
        <v>86</v>
      </c>
      <c r="J64" s="30">
        <v>86</v>
      </c>
      <c r="K64" s="33">
        <v>87</v>
      </c>
      <c r="L64" s="31">
        <v>80</v>
      </c>
      <c r="M64" s="31">
        <v>80</v>
      </c>
      <c r="N64" s="31">
        <v>87</v>
      </c>
      <c r="O64" s="8">
        <v>88</v>
      </c>
      <c r="P64" s="8">
        <v>83</v>
      </c>
    </row>
    <row r="65" spans="1:16" ht="11.25">
      <c r="A65" s="29" t="s">
        <v>58</v>
      </c>
      <c r="C65" s="30">
        <v>2</v>
      </c>
      <c r="D65" s="30">
        <v>2</v>
      </c>
      <c r="E65" s="15">
        <v>2</v>
      </c>
      <c r="F65" s="32">
        <v>2</v>
      </c>
      <c r="G65" s="29">
        <v>2</v>
      </c>
      <c r="H65" s="30">
        <v>2</v>
      </c>
      <c r="I65" s="30">
        <v>2</v>
      </c>
      <c r="J65" s="30">
        <v>2</v>
      </c>
      <c r="K65" s="33">
        <v>2</v>
      </c>
      <c r="L65" s="31">
        <v>2</v>
      </c>
      <c r="M65" s="31">
        <v>2</v>
      </c>
      <c r="N65" s="31">
        <v>2</v>
      </c>
      <c r="O65" s="8">
        <v>2</v>
      </c>
      <c r="P65" s="8">
        <v>2</v>
      </c>
    </row>
    <row r="66" spans="1:16" ht="11.25">
      <c r="A66" s="29" t="s">
        <v>59</v>
      </c>
      <c r="C66" s="31">
        <f aca="true" t="shared" si="20" ref="C66:P66">C12/C64</f>
        <v>0</v>
      </c>
      <c r="D66" s="31">
        <f t="shared" si="20"/>
        <v>2109.258823529412</v>
      </c>
      <c r="E66" s="31">
        <f t="shared" si="20"/>
        <v>2047.7011494252874</v>
      </c>
      <c r="F66" s="32">
        <f t="shared" si="20"/>
        <v>2165.4117647058824</v>
      </c>
      <c r="G66" s="30">
        <f t="shared" si="20"/>
        <v>2304.329411764706</v>
      </c>
      <c r="H66" s="30">
        <f t="shared" si="20"/>
        <v>2066.035714285714</v>
      </c>
      <c r="I66" s="30">
        <f t="shared" si="20"/>
        <v>1830.7674418604652</v>
      </c>
      <c r="J66" s="30">
        <f t="shared" si="20"/>
        <v>1693.360465116279</v>
      </c>
      <c r="K66" s="33">
        <f t="shared" si="20"/>
        <v>1686.9080459770114</v>
      </c>
      <c r="L66" s="31">
        <f t="shared" si="20"/>
        <v>2036.3</v>
      </c>
      <c r="M66" s="31">
        <f t="shared" si="20"/>
        <v>2039.3</v>
      </c>
      <c r="N66" s="31">
        <f t="shared" si="20"/>
        <v>1690.3793103448277</v>
      </c>
      <c r="O66" s="8">
        <f t="shared" si="20"/>
        <v>1760.1477272727273</v>
      </c>
      <c r="P66" s="8">
        <f t="shared" si="20"/>
        <v>1776.8192771084337</v>
      </c>
    </row>
    <row r="67" spans="1:16" ht="11.25">
      <c r="A67" s="29" t="s">
        <v>60</v>
      </c>
      <c r="C67" s="31">
        <f aca="true" t="shared" si="21" ref="C67:P67">C16/C64</f>
        <v>0</v>
      </c>
      <c r="D67" s="31">
        <f t="shared" si="21"/>
        <v>2566.788235294118</v>
      </c>
      <c r="E67" s="31">
        <f t="shared" si="21"/>
        <v>2857.3793103448274</v>
      </c>
      <c r="F67" s="32">
        <f t="shared" si="21"/>
        <v>2751.705882352941</v>
      </c>
      <c r="G67" s="30">
        <f t="shared" si="21"/>
        <v>2916.3058823529414</v>
      </c>
      <c r="H67" s="30">
        <f t="shared" si="21"/>
        <v>2282.785714285714</v>
      </c>
      <c r="I67" s="30">
        <f t="shared" si="21"/>
        <v>2096.6162790697676</v>
      </c>
      <c r="J67" s="30">
        <f t="shared" si="21"/>
        <v>1994.0581395348838</v>
      </c>
      <c r="K67" s="33">
        <f t="shared" si="21"/>
        <v>2303.3563218390805</v>
      </c>
      <c r="L67" s="31">
        <f t="shared" si="21"/>
        <v>2567.7</v>
      </c>
      <c r="M67" s="31">
        <f t="shared" si="21"/>
        <v>2411.95</v>
      </c>
      <c r="N67" s="31">
        <f t="shared" si="21"/>
        <v>2018.367816091954</v>
      </c>
      <c r="O67" s="8">
        <f t="shared" si="21"/>
        <v>2217.0227272727275</v>
      </c>
      <c r="P67" s="8">
        <f t="shared" si="21"/>
        <v>2852.3373493975905</v>
      </c>
    </row>
    <row r="68" spans="1:16" ht="11.25">
      <c r="A68" s="14" t="s">
        <v>61</v>
      </c>
      <c r="B68" s="14"/>
      <c r="C68" s="34">
        <f aca="true" t="shared" si="22" ref="C68:P68">(C40/C64)</f>
        <v>3.67816091954023</v>
      </c>
      <c r="D68" s="34">
        <f t="shared" si="22"/>
        <v>-22.6</v>
      </c>
      <c r="E68" s="34">
        <f t="shared" si="22"/>
        <v>-23.770114942528735</v>
      </c>
      <c r="F68" s="35">
        <f t="shared" si="22"/>
        <v>6.576470588235294</v>
      </c>
      <c r="G68" s="34">
        <f t="shared" si="22"/>
        <v>3.5058823529411764</v>
      </c>
      <c r="H68" s="34">
        <f t="shared" si="22"/>
        <v>20.61904761904762</v>
      </c>
      <c r="I68" s="34">
        <f t="shared" si="22"/>
        <v>13.418604651162791</v>
      </c>
      <c r="J68" s="34">
        <f t="shared" si="22"/>
        <v>5.72093023255814</v>
      </c>
      <c r="K68" s="43">
        <f t="shared" si="22"/>
        <v>-2.264367816091954</v>
      </c>
      <c r="L68" s="34">
        <f t="shared" si="22"/>
        <v>17.6375</v>
      </c>
      <c r="M68" s="34">
        <f t="shared" si="22"/>
        <v>10.4125</v>
      </c>
      <c r="N68" s="34">
        <f t="shared" si="22"/>
        <v>4.2988505747126435</v>
      </c>
      <c r="O68" s="9">
        <f t="shared" si="22"/>
        <v>10.329545454545455</v>
      </c>
      <c r="P68" s="9">
        <f t="shared" si="22"/>
        <v>43.93975903614458</v>
      </c>
    </row>
    <row r="69" spans="1:16" ht="11.25">
      <c r="A69" s="23" t="s">
        <v>62</v>
      </c>
      <c r="E69" s="15"/>
      <c r="F69" s="32"/>
      <c r="K69" s="37"/>
      <c r="L69" s="15"/>
      <c r="M69" s="15"/>
      <c r="N69" s="15"/>
      <c r="O69" s="7"/>
      <c r="P69" s="7"/>
    </row>
    <row r="70" spans="1:16" ht="11.25">
      <c r="A70" s="29" t="s">
        <v>63</v>
      </c>
      <c r="C70" s="45">
        <f aca="true" t="shared" si="23" ref="C70:K70">(C10/G10)-1</f>
        <v>-0.9296581138572658</v>
      </c>
      <c r="D70" s="45">
        <f t="shared" si="23"/>
        <v>0.0795907497766477</v>
      </c>
      <c r="E70" s="45">
        <f t="shared" si="23"/>
        <v>0.29716379639731705</v>
      </c>
      <c r="F70" s="46">
        <f t="shared" si="23"/>
        <v>0.3030805173535007</v>
      </c>
      <c r="G70" s="47">
        <f t="shared" si="23"/>
        <v>0.1434622422638303</v>
      </c>
      <c r="H70" s="47">
        <f t="shared" si="23"/>
        <v>-0.04583997606567192</v>
      </c>
      <c r="I70" s="47">
        <f t="shared" si="23"/>
        <v>-0.048118383229334594</v>
      </c>
      <c r="J70" s="47">
        <f t="shared" si="23"/>
        <v>-0.022916823555990673</v>
      </c>
      <c r="K70" s="48">
        <f t="shared" si="23"/>
        <v>0.0615950984090643</v>
      </c>
      <c r="L70" s="45">
        <f>(L10/257946)-1</f>
        <v>-0.054061702837027936</v>
      </c>
      <c r="M70" s="45">
        <f>(M10/263030)-1</f>
        <v>-0.13238794053910197</v>
      </c>
      <c r="N70" s="45">
        <f>(N10/255437)-1</f>
        <v>-0.16823326299635522</v>
      </c>
      <c r="O70" s="10">
        <f>(O10/P10)-1</f>
        <v>-0.152456974013517</v>
      </c>
      <c r="P70" s="10">
        <f>(P10/236922)-1</f>
        <v>0.14849190872945517</v>
      </c>
    </row>
    <row r="71" spans="1:16" ht="11.25">
      <c r="A71" s="29" t="s">
        <v>64</v>
      </c>
      <c r="C71" s="45">
        <f aca="true" t="shared" si="24" ref="C71:I73">(C12/G12)-1</f>
        <v>-1</v>
      </c>
      <c r="D71" s="45">
        <f t="shared" si="24"/>
        <v>0.033074613793381724</v>
      </c>
      <c r="E71" s="45">
        <f t="shared" si="24"/>
        <v>0.131499053643789</v>
      </c>
      <c r="F71" s="46">
        <f t="shared" si="24"/>
        <v>0.26389661399858544</v>
      </c>
      <c r="G71" s="47">
        <f t="shared" si="24"/>
        <v>0.3346052425371864</v>
      </c>
      <c r="H71" s="47">
        <f t="shared" si="24"/>
        <v>0.0653329568334724</v>
      </c>
      <c r="I71" s="47">
        <f t="shared" si="24"/>
        <v>-0.034926200166723875</v>
      </c>
      <c r="J71" s="47">
        <f>J12/N12-1</f>
        <v>-0.009750923073784667</v>
      </c>
      <c r="K71" s="48">
        <f>(K12/O12)-1</f>
        <v>-0.0525007585881867</v>
      </c>
      <c r="L71" s="45">
        <f>L12/145481-1</f>
        <v>0.11976134340566813</v>
      </c>
      <c r="M71" s="45">
        <f>M12/145814-1</f>
        <v>0.1188500418341174</v>
      </c>
      <c r="N71" s="45">
        <f>N12/142296-1</f>
        <v>0.03350059031877217</v>
      </c>
      <c r="O71" s="10">
        <f>(O12/P12)-1</f>
        <v>0.0502929290189591</v>
      </c>
      <c r="P71" s="10">
        <f>P12/147773-1</f>
        <v>-0.002009839415860859</v>
      </c>
    </row>
    <row r="72" spans="2:16" ht="11.25">
      <c r="B72" s="29" t="s">
        <v>15</v>
      </c>
      <c r="C72" s="45">
        <f t="shared" si="24"/>
        <v>-1</v>
      </c>
      <c r="D72" s="45">
        <f t="shared" si="24"/>
        <v>0.004949962979770239</v>
      </c>
      <c r="E72" s="45">
        <f t="shared" si="24"/>
        <v>0.09525505795122458</v>
      </c>
      <c r="F72" s="46">
        <f t="shared" si="24"/>
        <v>0.2594715173076647</v>
      </c>
      <c r="G72" s="47">
        <f t="shared" si="24"/>
        <v>0.31477974708681744</v>
      </c>
      <c r="H72" s="47">
        <f t="shared" si="24"/>
        <v>0.09586065198330118</v>
      </c>
      <c r="I72" s="47">
        <f t="shared" si="24"/>
        <v>0.014305309290421953</v>
      </c>
      <c r="J72" s="47">
        <f>(J13/N13)-1</f>
        <v>0.014672275512729094</v>
      </c>
      <c r="K72" s="48">
        <f>(K13/O13)-1</f>
        <v>-0.021859477758969903</v>
      </c>
      <c r="L72" s="45">
        <f>(L13/129585)-1</f>
        <v>0.1793494617432574</v>
      </c>
      <c r="M72" s="45">
        <f>(M13/129697)-1</f>
        <v>0.1523396840327842</v>
      </c>
      <c r="N72" s="45">
        <f>(N13/125016)-1</f>
        <v>0.0990753183592501</v>
      </c>
      <c r="O72" s="10">
        <f>(O13/P13)-1</f>
        <v>0.07845968532331793</v>
      </c>
      <c r="P72" s="10">
        <f>(P13/134845)-1</f>
        <v>-0.008780451629648911</v>
      </c>
    </row>
    <row r="73" spans="2:16" ht="11.25">
      <c r="B73" s="29" t="s">
        <v>16</v>
      </c>
      <c r="C73" s="45">
        <f t="shared" si="24"/>
        <v>-1</v>
      </c>
      <c r="D73" s="45">
        <f t="shared" si="24"/>
        <v>0.8089276890133421</v>
      </c>
      <c r="E73" s="45">
        <f t="shared" si="24"/>
        <v>1.070220399794977</v>
      </c>
      <c r="F73" s="46">
        <f t="shared" si="24"/>
        <v>0.36322653356947354</v>
      </c>
      <c r="G73" s="47">
        <f t="shared" si="24"/>
        <v>0.8195697432338653</v>
      </c>
      <c r="H73" s="47">
        <f t="shared" si="24"/>
        <v>-0.3975987299067275</v>
      </c>
      <c r="I73" s="47">
        <f t="shared" si="24"/>
        <v>-0.5724304185842648</v>
      </c>
      <c r="J73" s="47">
        <f>(J14/N14)-1</f>
        <v>-0.35710588965945556</v>
      </c>
      <c r="K73" s="48">
        <f>(K14/O14)-1</f>
        <v>-0.4635644485807352</v>
      </c>
      <c r="L73" s="45">
        <f>(L14/15895)-1</f>
        <v>-0.3659641396665618</v>
      </c>
      <c r="M73" s="45">
        <f>(M14/16117)-1</f>
        <v>-0.15064838369423594</v>
      </c>
      <c r="N73" s="45">
        <f>(N14/17280)-1</f>
        <v>-0.4409143518518519</v>
      </c>
      <c r="O73" s="10">
        <f>(O14/P14)-1</f>
        <v>-0.2222222222222222</v>
      </c>
      <c r="P73" s="10">
        <f>(P14/12928)-1</f>
        <v>0.06861076732673266</v>
      </c>
    </row>
    <row r="74" spans="1:16" ht="11.25">
      <c r="A74" s="29" t="s">
        <v>65</v>
      </c>
      <c r="C74" s="45">
        <f aca="true" t="shared" si="25" ref="C74:K75">(C16/G16)-1</f>
        <v>-1</v>
      </c>
      <c r="D74" s="45">
        <f t="shared" si="25"/>
        <v>0.13779634323143197</v>
      </c>
      <c r="E74" s="45">
        <f t="shared" si="25"/>
        <v>0.378699898507562</v>
      </c>
      <c r="F74" s="46">
        <f t="shared" si="25"/>
        <v>0.36390672288018466</v>
      </c>
      <c r="G74" s="47">
        <f t="shared" si="25"/>
        <v>0.23700546928021082</v>
      </c>
      <c r="H74" s="47">
        <f t="shared" si="25"/>
        <v>-0.06650893796004209</v>
      </c>
      <c r="I74" s="47">
        <f t="shared" si="25"/>
        <v>-0.06554343995522294</v>
      </c>
      <c r="J74" s="47">
        <f t="shared" si="25"/>
        <v>-0.023400038724814665</v>
      </c>
      <c r="K74" s="48">
        <f t="shared" si="25"/>
        <v>0.02713508083117211</v>
      </c>
      <c r="L74" s="45">
        <f>L16/183926-1</f>
        <v>0.11684046844926765</v>
      </c>
      <c r="M74" s="45">
        <f>M16/228439-1</f>
        <v>-0.15532811822849868</v>
      </c>
      <c r="N74" s="45">
        <f>N16/220353-1</f>
        <v>-0.20310592549227835</v>
      </c>
      <c r="O74" s="10">
        <f>(O16/P16)-1</f>
        <v>-0.17591153313283547</v>
      </c>
      <c r="P74" s="10">
        <f>P16/204408-1</f>
        <v>0.15819341708739376</v>
      </c>
    </row>
    <row r="75" spans="2:16" ht="11.25">
      <c r="B75" s="29" t="s">
        <v>15</v>
      </c>
      <c r="C75" s="45">
        <f t="shared" si="25"/>
        <v>-1</v>
      </c>
      <c r="D75" s="45">
        <f t="shared" si="25"/>
        <v>0.03840338170304847</v>
      </c>
      <c r="E75" s="45">
        <f t="shared" si="25"/>
        <v>0.29434051622069624</v>
      </c>
      <c r="F75" s="46">
        <f t="shared" si="25"/>
        <v>0.2692990599453813</v>
      </c>
      <c r="G75" s="47">
        <f t="shared" si="25"/>
        <v>0.04999650959860391</v>
      </c>
      <c r="H75" s="47">
        <f t="shared" si="25"/>
        <v>-0.08901133189750299</v>
      </c>
      <c r="I75" s="47">
        <f t="shared" si="25"/>
        <v>-0.08988470005079974</v>
      </c>
      <c r="J75" s="47">
        <f t="shared" si="25"/>
        <v>-0.08599555152813243</v>
      </c>
      <c r="K75" s="48">
        <f t="shared" si="25"/>
        <v>-0.0020551046710091114</v>
      </c>
      <c r="L75" s="45">
        <f>(L17/158444)-1</f>
        <v>-0.17069122213526544</v>
      </c>
      <c r="M75" s="45">
        <f>(M17/181081)-1</f>
        <v>-0.282519977247751</v>
      </c>
      <c r="N75" s="45">
        <f>(N17/187497)-1</f>
        <v>-0.35257630788759287</v>
      </c>
      <c r="O75" s="10">
        <f>(O17/P17)-1</f>
        <v>-0.24393095856355052</v>
      </c>
      <c r="P75" s="10">
        <f>(P17/166129)-1</f>
        <v>0.14282876559781865</v>
      </c>
    </row>
    <row r="76" spans="2:16" ht="11.25">
      <c r="B76" s="29" t="s">
        <v>16</v>
      </c>
      <c r="C76" s="45">
        <f aca="true" t="shared" si="26" ref="C76:K76">(C21/G21)-1</f>
        <v>-1</v>
      </c>
      <c r="D76" s="45">
        <f t="shared" si="26"/>
        <v>0.3029243174973282</v>
      </c>
      <c r="E76" s="45">
        <f t="shared" si="26"/>
        <v>0.5394183517280271</v>
      </c>
      <c r="F76" s="46">
        <f t="shared" si="26"/>
        <v>0.5372988866497077</v>
      </c>
      <c r="G76" s="47">
        <f t="shared" si="26"/>
        <v>0.7058205873088097</v>
      </c>
      <c r="H76" s="47">
        <f t="shared" si="26"/>
        <v>-0.026561465609251877</v>
      </c>
      <c r="I76" s="47">
        <f t="shared" si="26"/>
        <v>-0.015372656026906073</v>
      </c>
      <c r="J76" s="47">
        <f t="shared" si="26"/>
        <v>0.1167724321133412</v>
      </c>
      <c r="K76" s="48">
        <f t="shared" si="26"/>
        <v>0.1084127014916687</v>
      </c>
      <c r="L76" s="45">
        <f>(L21/25482)-1</f>
        <v>1.9046778117887135</v>
      </c>
      <c r="M76" s="45">
        <f>(M21/47358)-1</f>
        <v>0.3310106001098019</v>
      </c>
      <c r="N76" s="45">
        <f>(N21/32856)-1</f>
        <v>0.6498660822985147</v>
      </c>
      <c r="O76" s="10">
        <f>(O21/P21)-1</f>
        <v>0.09951585727387124</v>
      </c>
      <c r="P76" s="10">
        <f>(P21/38279)-1</f>
        <v>0.22487525797434627</v>
      </c>
    </row>
    <row r="77" spans="1:16" ht="11.25">
      <c r="A77" s="29" t="s">
        <v>66</v>
      </c>
      <c r="C77" s="45">
        <f aca="true" t="shared" si="27" ref="C77:K77">(C25/G25)-1</f>
        <v>-0.06711310256536507</v>
      </c>
      <c r="D77" s="45">
        <f t="shared" si="27"/>
        <v>-0.23073031640912434</v>
      </c>
      <c r="E77" s="45">
        <f t="shared" si="27"/>
        <v>-0.1408444067477146</v>
      </c>
      <c r="F77" s="46">
        <f t="shared" si="27"/>
        <v>0.015029182879377379</v>
      </c>
      <c r="G77" s="47">
        <f t="shared" si="27"/>
        <v>0.010548838135044925</v>
      </c>
      <c r="H77" s="47">
        <f t="shared" si="27"/>
        <v>0.0018429782528566196</v>
      </c>
      <c r="I77" s="47">
        <f t="shared" si="27"/>
        <v>0.0011321822813472604</v>
      </c>
      <c r="J77" s="47">
        <f t="shared" si="27"/>
        <v>-0.04902867715078629</v>
      </c>
      <c r="K77" s="48">
        <f t="shared" si="27"/>
        <v>-0.08712241653418129</v>
      </c>
      <c r="L77" s="45">
        <f>(L25/21750)-1</f>
        <v>-0.002114942528735675</v>
      </c>
      <c r="M77" s="45">
        <f>(M25/20359)-1</f>
        <v>0.04121027555380907</v>
      </c>
      <c r="N77" s="45">
        <f>(N25/24119)-1</f>
        <v>-0.10361126083170946</v>
      </c>
      <c r="O77" s="10">
        <f>(O25/P25)-1</f>
        <v>-0.06897572528123153</v>
      </c>
      <c r="P77" s="10">
        <f>(P25/22075)-1</f>
        <v>0.07116647791619468</v>
      </c>
    </row>
    <row r="78" spans="1:16" ht="11.25">
      <c r="A78" s="14" t="s">
        <v>67</v>
      </c>
      <c r="B78" s="14"/>
      <c r="C78" s="49">
        <f aca="true" t="shared" si="28" ref="C78:K78">(C40/G40)-1</f>
        <v>0.0738255033557047</v>
      </c>
      <c r="D78" s="49">
        <f t="shared" si="28"/>
        <v>-2.109122401847575</v>
      </c>
      <c r="E78" s="49">
        <f t="shared" si="28"/>
        <v>-2.7920277296360485</v>
      </c>
      <c r="F78" s="50">
        <f t="shared" si="28"/>
        <v>0.13617886178861793</v>
      </c>
      <c r="G78" s="49">
        <f t="shared" si="28"/>
        <v>-2.5126903553299496</v>
      </c>
      <c r="H78" s="49">
        <f t="shared" si="28"/>
        <v>0.22749822820694532</v>
      </c>
      <c r="I78" s="49">
        <f t="shared" si="28"/>
        <v>0.3853541416566626</v>
      </c>
      <c r="J78" s="49">
        <f t="shared" si="28"/>
        <v>0.31550802139037426</v>
      </c>
      <c r="K78" s="51">
        <f t="shared" si="28"/>
        <v>-1.2167216721672167</v>
      </c>
      <c r="L78" s="49">
        <f>(L40/1831)-1</f>
        <v>-0.22938285090114696</v>
      </c>
      <c r="M78" s="49">
        <f>(M40/441)-1</f>
        <v>0.8888888888888888</v>
      </c>
      <c r="N78" s="49">
        <f>(N40/472)-1</f>
        <v>-0.2076271186440678</v>
      </c>
      <c r="O78" s="11">
        <f>(O40/P40)-1</f>
        <v>-0.7507540444200713</v>
      </c>
      <c r="P78" s="11">
        <f>(P40/3158)-1</f>
        <v>0.1548448385053831</v>
      </c>
    </row>
    <row r="79" spans="15:16" ht="11.25">
      <c r="O79" s="7"/>
      <c r="P79" s="7"/>
    </row>
    <row r="80" spans="15:16" ht="11.25">
      <c r="O80" s="7"/>
      <c r="P80" s="7"/>
    </row>
    <row r="81" spans="15:16" ht="11.25">
      <c r="O81" s="7"/>
      <c r="P81" s="7"/>
    </row>
    <row r="82" spans="15:16" ht="11.25">
      <c r="O82" s="7"/>
      <c r="P82" s="7"/>
    </row>
    <row r="83" spans="15:16" ht="11.25">
      <c r="O83" s="7"/>
      <c r="P83" s="7"/>
    </row>
    <row r="84" spans="15:16" ht="11.25">
      <c r="O84" s="7"/>
      <c r="P84" s="7"/>
    </row>
    <row r="85" spans="15:16" ht="11.25">
      <c r="O85" s="7"/>
      <c r="P85" s="7"/>
    </row>
    <row r="86" spans="15:16" ht="11.25">
      <c r="O86" s="7"/>
      <c r="P86" s="7"/>
    </row>
    <row r="87" spans="15:16" ht="11.25">
      <c r="O87" s="7"/>
      <c r="P87" s="7"/>
    </row>
    <row r="88" spans="15:16" ht="11.25">
      <c r="O88" s="7"/>
      <c r="P88" s="7"/>
    </row>
    <row r="89" spans="15:16" ht="11.25">
      <c r="O89" s="7"/>
      <c r="P89" s="7"/>
    </row>
    <row r="90" spans="15:16" ht="11.25">
      <c r="O90" s="7"/>
      <c r="P90" s="7"/>
    </row>
    <row r="91" spans="15:16" ht="11.25">
      <c r="O91" s="7"/>
      <c r="P91" s="7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2017-06-16T16:07:46Z</dcterms:created>
  <dcterms:modified xsi:type="dcterms:W3CDTF">2017-06-16T16:07:51Z</dcterms:modified>
  <cp:category/>
  <cp:version/>
  <cp:contentType/>
  <cp:contentStatus/>
</cp:coreProperties>
</file>