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SBC USA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<sst xmlns="http://schemas.openxmlformats.org/spreadsheetml/2006/main" count="91" uniqueCount="70">
  <si>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CUADRO No. 18-23</t>
  </si>
  <si>
    <t>HSBC BANK USA (1)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</si>
  <si>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</si>
  <si>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</si>
  <si>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</si>
  <si>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</si>
  <si>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</si>
  <si>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</si>
  <si>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</si>
  <si>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</si>
  <si>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</si>
  <si>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</si>
  <si>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</si>
  <si>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</si>
  <si>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</si>
  <si>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</si>
  <si>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</si>
  <si>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</si>
  <si>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</si>
  <si>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</si>
  <si>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</si>
  <si>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</si>
  <si>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</si>
  <si>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</si>
  <si>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</si>
  <si>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</si>
  <si>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</si>
  <si>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</si>
  <si>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</si>
  <si>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</si>
  <si>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</si>
  <si>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</si>
  <si>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</si>
  <si>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</si>
  <si>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</si>
  <si>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</si>
  <si>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</si>
  <si>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</si>
  <si>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</si>
  <si>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</si>
  <si>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</si>
  <si>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</si>
  <si>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</si>
  <si>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</si>
  <si>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</si>
  <si>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</si>
  <si>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</si>
  <si>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</si>
  <si>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</si>
  <si>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</si>
  <si>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</si>
  <si>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</si>
  <si>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</si>
  <si>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</si>
  <si>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</si>
  <si>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</si>
  <si>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</si>
  <si>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</si>
  <si>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</si>
  <si>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</si>
  <si>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</si>
  <si>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</si>
  <si>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</si>
  <si>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</si>
  <si>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</si>
  <si>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</si>
  <si>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</si>
  <si>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</si>
  <si>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</si>
  <si>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Antes Chase Manhattan Bank.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</si>
</sst>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2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195" fontId="3" fillId="0" borderId="0" xfId="46" applyNumberFormat="1" applyFont="1" applyBorder="1" applyAlignment="1">
      <alignment horizontal="right"/>
    </xf>
    <xf numFmtId="195" fontId="3" fillId="0" borderId="10" xfId="46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13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3" fontId="3" fillId="0" borderId="14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43" fontId="3" fillId="0" borderId="0" xfId="5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11.421875" defaultRowHeight="12.75"/>
  <cols>
    <col min="1" max="1" width="2.00390625" style="2" customWidth="1"/>
    <col min="2" max="2" width="22.28125" style="2" customWidth="1"/>
    <col min="3" max="3" width="8.7109375" style="2" customWidth="1"/>
    <col min="4" max="4" width="8.8515625" style="2" customWidth="1"/>
    <col min="5" max="5" width="9.00390625" style="2" customWidth="1"/>
    <col min="6" max="6" width="9.28125" style="2" customWidth="1"/>
    <col min="7" max="8" width="8.8515625" style="2" customWidth="1"/>
    <col min="9" max="10" width="8.7109375" style="2" customWidth="1"/>
    <col min="11" max="11" width="7.8515625" style="2" customWidth="1"/>
    <col min="12" max="12" width="7.57421875" style="2" customWidth="1"/>
    <col min="13" max="13" width="8.8515625" style="2" customWidth="1"/>
    <col min="14" max="14" width="9.00390625" style="2" customWidth="1"/>
    <col min="15" max="15" width="7.421875" style="2" hidden="1" customWidth="1"/>
    <col min="16" max="16" width="0.85546875" style="2" hidden="1" customWidth="1"/>
    <col min="17" max="17" width="11.421875" style="2" customWidth="1"/>
    <col min="18" max="16384" width="11.421875" style="1" customWidth="1"/>
  </cols>
  <sheetData>
    <row r="1" spans="2:16" ht="11.25">
      <c r="B1" s="54"/>
      <c r="C1" s="54"/>
      <c r="D1" s="54"/>
      <c r="E1" s="54"/>
      <c r="F1" s="54"/>
      <c r="G1" s="54" t="s">
        <v>0</v>
      </c>
      <c r="H1" s="54"/>
      <c r="I1" s="54"/>
      <c r="J1" s="54"/>
      <c r="K1" s="54"/>
      <c r="L1" s="54"/>
      <c r="M1" s="54"/>
      <c r="N1" s="54"/>
      <c r="O1" s="54"/>
      <c r="P1" s="54"/>
    </row>
    <row r="2" spans="2:16" ht="11.25">
      <c r="B2" s="54"/>
      <c r="C2" s="54"/>
      <c r="D2" s="54"/>
      <c r="E2" s="54"/>
      <c r="F2" s="54"/>
      <c r="G2" s="54" t="s">
        <v>1</v>
      </c>
      <c r="H2" s="54"/>
      <c r="I2" s="54"/>
      <c r="J2" s="54"/>
      <c r="K2" s="54"/>
      <c r="L2" s="54"/>
      <c r="M2" s="54"/>
      <c r="N2" s="54"/>
      <c r="O2" s="54"/>
      <c r="P2" s="54"/>
    </row>
    <row r="3" spans="2:16" ht="11.25">
      <c r="B3" s="54"/>
      <c r="C3" s="54"/>
      <c r="D3" s="54"/>
      <c r="E3" s="54"/>
      <c r="F3" s="54"/>
      <c r="G3" s="54" t="s">
        <v>2</v>
      </c>
      <c r="H3" s="54"/>
      <c r="I3" s="54"/>
      <c r="J3" s="54"/>
      <c r="K3" s="54"/>
      <c r="L3" s="54"/>
      <c r="M3" s="54"/>
      <c r="N3" s="54"/>
      <c r="O3" s="54"/>
      <c r="P3" s="54"/>
    </row>
    <row r="4" spans="1:16" ht="11.25">
      <c r="A4" s="1"/>
      <c r="B4" s="53"/>
      <c r="C4" s="53"/>
      <c r="D4" s="53"/>
      <c r="E4" s="53"/>
      <c r="F4" s="53"/>
      <c r="G4" s="53" t="s">
        <v>3</v>
      </c>
      <c r="H4" s="53"/>
      <c r="I4" s="53"/>
      <c r="J4" s="53"/>
      <c r="K4" s="53"/>
      <c r="L4" s="53"/>
      <c r="M4" s="53"/>
      <c r="N4" s="53"/>
      <c r="O4" s="53"/>
      <c r="P4" s="53"/>
    </row>
    <row r="5" spans="1:16" ht="11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1.25">
      <c r="A7" s="5"/>
      <c r="B7" s="5"/>
      <c r="C7" s="56">
        <v>2002</v>
      </c>
      <c r="D7" s="56"/>
      <c r="E7" s="56"/>
      <c r="F7" s="57"/>
      <c r="G7" s="56">
        <v>2001</v>
      </c>
      <c r="H7" s="56"/>
      <c r="I7" s="56"/>
      <c r="J7" s="56"/>
      <c r="K7" s="55">
        <v>2000</v>
      </c>
      <c r="L7" s="56"/>
      <c r="M7" s="56"/>
      <c r="N7" s="56"/>
      <c r="O7" s="56" t="s">
        <v>4</v>
      </c>
      <c r="P7" s="56"/>
    </row>
    <row r="8" spans="1:16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7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7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2"/>
      <c r="K9" s="15"/>
      <c r="L9" s="16"/>
      <c r="M9" s="16"/>
      <c r="N9" s="16"/>
      <c r="O9" s="17"/>
      <c r="P9" s="17"/>
    </row>
    <row r="10" spans="1:16" ht="11.25">
      <c r="A10" s="2" t="s">
        <v>12</v>
      </c>
      <c r="C10" s="18">
        <v>1228867</v>
      </c>
      <c r="D10" s="18">
        <v>1166517</v>
      </c>
      <c r="E10" s="19">
        <v>1169866</v>
      </c>
      <c r="F10" s="20">
        <v>1202878</v>
      </c>
      <c r="G10" s="18">
        <v>1261032</v>
      </c>
      <c r="H10" s="18">
        <v>1186313</v>
      </c>
      <c r="I10" s="18">
        <v>1214325</v>
      </c>
      <c r="J10" s="18">
        <v>1211470</v>
      </c>
      <c r="K10" s="21">
        <v>895262</v>
      </c>
      <c r="L10" s="19">
        <v>880647</v>
      </c>
      <c r="M10" s="19">
        <v>1096181</v>
      </c>
      <c r="N10" s="19">
        <v>1094188</v>
      </c>
      <c r="O10" s="18">
        <v>1104535</v>
      </c>
      <c r="P10" s="18">
        <v>1025323</v>
      </c>
    </row>
    <row r="11" spans="1:16" ht="11.25">
      <c r="A11" s="2" t="s">
        <v>13</v>
      </c>
      <c r="C11" s="18">
        <v>276352</v>
      </c>
      <c r="D11" s="18">
        <v>203711</v>
      </c>
      <c r="E11" s="19">
        <v>238012</v>
      </c>
      <c r="F11" s="20">
        <v>204156</v>
      </c>
      <c r="G11" s="18">
        <v>255822</v>
      </c>
      <c r="H11" s="18">
        <v>148777</v>
      </c>
      <c r="I11" s="18">
        <v>199386</v>
      </c>
      <c r="J11" s="18">
        <v>209306</v>
      </c>
      <c r="K11" s="21">
        <v>147002</v>
      </c>
      <c r="L11" s="19">
        <v>157027</v>
      </c>
      <c r="M11" s="19">
        <v>429073</v>
      </c>
      <c r="N11" s="19">
        <v>425785</v>
      </c>
      <c r="O11" s="18">
        <v>446648</v>
      </c>
      <c r="P11" s="18">
        <v>424826</v>
      </c>
    </row>
    <row r="12" spans="1:16" ht="11.25">
      <c r="A12" s="2" t="s">
        <v>14</v>
      </c>
      <c r="C12" s="19">
        <f aca="true" t="shared" si="0" ref="C12:P12">C13+C14</f>
        <v>814032</v>
      </c>
      <c r="D12" s="19">
        <f t="shared" si="0"/>
        <v>833549</v>
      </c>
      <c r="E12" s="19">
        <f t="shared" si="0"/>
        <v>834626</v>
      </c>
      <c r="F12" s="20">
        <f t="shared" si="0"/>
        <v>844757</v>
      </c>
      <c r="G12" s="18">
        <f t="shared" si="0"/>
        <v>840069</v>
      </c>
      <c r="H12" s="18">
        <f t="shared" si="0"/>
        <v>875577</v>
      </c>
      <c r="I12" s="18">
        <f t="shared" si="0"/>
        <v>863723</v>
      </c>
      <c r="J12" s="18">
        <f t="shared" si="0"/>
        <v>849909</v>
      </c>
      <c r="K12" s="21">
        <f t="shared" si="0"/>
        <v>607131</v>
      </c>
      <c r="L12" s="19">
        <f t="shared" si="0"/>
        <v>600802</v>
      </c>
      <c r="M12" s="19">
        <f t="shared" si="0"/>
        <v>623306</v>
      </c>
      <c r="N12" s="19">
        <f t="shared" si="0"/>
        <v>618234</v>
      </c>
      <c r="O12" s="18">
        <f t="shared" si="0"/>
        <v>599419</v>
      </c>
      <c r="P12" s="18">
        <f t="shared" si="0"/>
        <v>555930</v>
      </c>
    </row>
    <row r="13" spans="2:16" ht="11.25">
      <c r="B13" s="2" t="s">
        <v>15</v>
      </c>
      <c r="C13" s="18">
        <v>811916</v>
      </c>
      <c r="D13" s="18">
        <v>833530</v>
      </c>
      <c r="E13" s="19">
        <v>834180</v>
      </c>
      <c r="F13" s="20">
        <v>844118</v>
      </c>
      <c r="G13" s="18">
        <v>839870</v>
      </c>
      <c r="H13" s="18">
        <v>875511</v>
      </c>
      <c r="I13" s="18">
        <v>863718</v>
      </c>
      <c r="J13" s="18">
        <v>849904</v>
      </c>
      <c r="K13" s="21">
        <v>607131</v>
      </c>
      <c r="L13" s="19">
        <v>600802</v>
      </c>
      <c r="M13" s="19">
        <v>623306</v>
      </c>
      <c r="N13" s="19">
        <v>618234</v>
      </c>
      <c r="O13" s="18">
        <v>599419</v>
      </c>
      <c r="P13" s="18">
        <v>555927</v>
      </c>
    </row>
    <row r="14" spans="2:16" ht="11.25">
      <c r="B14" s="2" t="s">
        <v>16</v>
      </c>
      <c r="C14" s="18">
        <v>2116</v>
      </c>
      <c r="D14" s="18">
        <v>19</v>
      </c>
      <c r="E14" s="19">
        <v>446</v>
      </c>
      <c r="F14" s="20">
        <v>639</v>
      </c>
      <c r="G14" s="18">
        <v>199</v>
      </c>
      <c r="H14" s="18">
        <v>66</v>
      </c>
      <c r="I14" s="18">
        <v>5</v>
      </c>
      <c r="J14" s="18">
        <v>5</v>
      </c>
      <c r="K14" s="21">
        <v>0</v>
      </c>
      <c r="L14" s="19">
        <v>0</v>
      </c>
      <c r="M14" s="19">
        <v>0</v>
      </c>
      <c r="N14" s="19">
        <v>0</v>
      </c>
      <c r="O14" s="18">
        <v>0</v>
      </c>
      <c r="P14" s="18">
        <v>3</v>
      </c>
    </row>
    <row r="15" spans="1:16" ht="11.25">
      <c r="A15" s="2" t="s">
        <v>17</v>
      </c>
      <c r="C15" s="18">
        <v>98106</v>
      </c>
      <c r="D15" s="18">
        <v>91785</v>
      </c>
      <c r="E15" s="19">
        <v>59699</v>
      </c>
      <c r="F15" s="20">
        <v>49702</v>
      </c>
      <c r="G15" s="18">
        <v>62514</v>
      </c>
      <c r="H15" s="18">
        <v>56885</v>
      </c>
      <c r="I15" s="18">
        <v>40834</v>
      </c>
      <c r="J15" s="18">
        <v>49546</v>
      </c>
      <c r="K15" s="21">
        <v>17520</v>
      </c>
      <c r="L15" s="19">
        <v>6173</v>
      </c>
      <c r="M15" s="19">
        <v>6570</v>
      </c>
      <c r="N15" s="19">
        <v>6601</v>
      </c>
      <c r="O15" s="18">
        <v>7028</v>
      </c>
      <c r="P15" s="18">
        <v>8491</v>
      </c>
    </row>
    <row r="16" spans="1:16" ht="11.25">
      <c r="A16" s="2" t="s">
        <v>18</v>
      </c>
      <c r="C16" s="19">
        <f aca="true" t="shared" si="1" ref="C16:P16">C17+C21</f>
        <v>1108346</v>
      </c>
      <c r="D16" s="19">
        <f t="shared" si="1"/>
        <v>1053342</v>
      </c>
      <c r="E16" s="19">
        <f t="shared" si="1"/>
        <v>1043502</v>
      </c>
      <c r="F16" s="20">
        <f t="shared" si="1"/>
        <v>1018908</v>
      </c>
      <c r="G16" s="18">
        <f t="shared" si="1"/>
        <v>1066613</v>
      </c>
      <c r="H16" s="18">
        <f t="shared" si="1"/>
        <v>1000741</v>
      </c>
      <c r="I16" s="18">
        <f t="shared" si="1"/>
        <v>1040079</v>
      </c>
      <c r="J16" s="18">
        <f t="shared" si="1"/>
        <v>1030743</v>
      </c>
      <c r="K16" s="21">
        <f t="shared" si="1"/>
        <v>751214</v>
      </c>
      <c r="L16" s="19">
        <f t="shared" si="1"/>
        <v>828491</v>
      </c>
      <c r="M16" s="19">
        <f t="shared" si="1"/>
        <v>1043703</v>
      </c>
      <c r="N16" s="19">
        <f t="shared" si="1"/>
        <v>1031970</v>
      </c>
      <c r="O16" s="18">
        <f t="shared" si="1"/>
        <v>1036705</v>
      </c>
      <c r="P16" s="18">
        <f t="shared" si="1"/>
        <v>954089</v>
      </c>
    </row>
    <row r="17" spans="2:16" ht="11.25">
      <c r="B17" s="2" t="s">
        <v>15</v>
      </c>
      <c r="C17" s="19">
        <f aca="true" t="shared" si="2" ref="C17:P17">SUM(C18:C20)</f>
        <v>754778</v>
      </c>
      <c r="D17" s="19">
        <f t="shared" si="2"/>
        <v>723721</v>
      </c>
      <c r="E17" s="19">
        <f t="shared" si="2"/>
        <v>716953</v>
      </c>
      <c r="F17" s="20">
        <f t="shared" si="2"/>
        <v>753002</v>
      </c>
      <c r="G17" s="18">
        <f t="shared" si="2"/>
        <v>720700</v>
      </c>
      <c r="H17" s="18">
        <f t="shared" si="2"/>
        <v>682684</v>
      </c>
      <c r="I17" s="18">
        <f t="shared" si="2"/>
        <v>760798</v>
      </c>
      <c r="J17" s="18">
        <f t="shared" si="2"/>
        <v>759733</v>
      </c>
      <c r="K17" s="21">
        <f t="shared" si="2"/>
        <v>606880</v>
      </c>
      <c r="L17" s="19">
        <f t="shared" si="2"/>
        <v>593616</v>
      </c>
      <c r="M17" s="19">
        <f t="shared" si="2"/>
        <v>624830</v>
      </c>
      <c r="N17" s="19">
        <f t="shared" si="2"/>
        <v>608807</v>
      </c>
      <c r="O17" s="18">
        <f t="shared" si="2"/>
        <v>620797</v>
      </c>
      <c r="P17" s="18">
        <f t="shared" si="2"/>
        <v>534249</v>
      </c>
    </row>
    <row r="18" spans="2:16" ht="11.25">
      <c r="B18" s="2" t="s">
        <v>19</v>
      </c>
      <c r="C18" s="18">
        <v>0</v>
      </c>
      <c r="D18" s="18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2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2" t="s">
        <v>20</v>
      </c>
      <c r="C19" s="18">
        <v>663005</v>
      </c>
      <c r="D19" s="18">
        <v>631712</v>
      </c>
      <c r="E19" s="19">
        <v>627810</v>
      </c>
      <c r="F19" s="20">
        <v>663216</v>
      </c>
      <c r="G19" s="18">
        <f>131140+495068</f>
        <v>626208</v>
      </c>
      <c r="H19" s="18">
        <v>599944</v>
      </c>
      <c r="I19" s="18">
        <v>581618</v>
      </c>
      <c r="J19" s="18">
        <v>564173</v>
      </c>
      <c r="K19" s="21">
        <v>331524</v>
      </c>
      <c r="L19" s="19">
        <v>275592</v>
      </c>
      <c r="M19" s="19">
        <v>338003</v>
      </c>
      <c r="N19" s="19">
        <v>356200</v>
      </c>
      <c r="O19" s="18">
        <v>339535</v>
      </c>
      <c r="P19" s="18">
        <v>397855</v>
      </c>
    </row>
    <row r="20" spans="2:16" ht="11.25">
      <c r="B20" s="2" t="s">
        <v>21</v>
      </c>
      <c r="C20" s="18">
        <v>91773</v>
      </c>
      <c r="D20" s="18">
        <v>92009</v>
      </c>
      <c r="E20" s="19">
        <v>89143</v>
      </c>
      <c r="F20" s="20">
        <v>89786</v>
      </c>
      <c r="G20" s="18">
        <f>19627+74865</f>
        <v>94492</v>
      </c>
      <c r="H20" s="18">
        <v>82740</v>
      </c>
      <c r="I20" s="18">
        <v>179180</v>
      </c>
      <c r="J20" s="18">
        <v>195558</v>
      </c>
      <c r="K20" s="21">
        <v>275356</v>
      </c>
      <c r="L20" s="19">
        <v>318024</v>
      </c>
      <c r="M20" s="19">
        <v>286827</v>
      </c>
      <c r="N20" s="19">
        <v>252607</v>
      </c>
      <c r="O20" s="18">
        <v>281262</v>
      </c>
      <c r="P20" s="18">
        <v>136394</v>
      </c>
    </row>
    <row r="21" spans="2:16" ht="11.25">
      <c r="B21" s="2" t="s">
        <v>16</v>
      </c>
      <c r="C21" s="19">
        <f>SUM(C22:C24)</f>
        <v>353568</v>
      </c>
      <c r="D21" s="19">
        <f aca="true" t="shared" si="3" ref="D21:P21">SUM(D23:D24)</f>
        <v>329621</v>
      </c>
      <c r="E21" s="19">
        <f t="shared" si="3"/>
        <v>326549</v>
      </c>
      <c r="F21" s="20">
        <f t="shared" si="3"/>
        <v>265906</v>
      </c>
      <c r="G21" s="18">
        <f t="shared" si="3"/>
        <v>345913</v>
      </c>
      <c r="H21" s="18">
        <f t="shared" si="3"/>
        <v>318057</v>
      </c>
      <c r="I21" s="18">
        <f t="shared" si="3"/>
        <v>279281</v>
      </c>
      <c r="J21" s="18">
        <f t="shared" si="3"/>
        <v>271010</v>
      </c>
      <c r="K21" s="21">
        <f t="shared" si="3"/>
        <v>144334</v>
      </c>
      <c r="L21" s="19">
        <f t="shared" si="3"/>
        <v>234875</v>
      </c>
      <c r="M21" s="19">
        <f t="shared" si="3"/>
        <v>418873</v>
      </c>
      <c r="N21" s="19">
        <f t="shared" si="3"/>
        <v>423163</v>
      </c>
      <c r="O21" s="18">
        <f t="shared" si="3"/>
        <v>415908</v>
      </c>
      <c r="P21" s="18">
        <f t="shared" si="3"/>
        <v>419840</v>
      </c>
    </row>
    <row r="22" spans="2:16" ht="11.25">
      <c r="B22" s="2" t="s">
        <v>19</v>
      </c>
      <c r="C22" s="19">
        <v>0</v>
      </c>
      <c r="D22" s="19">
        <v>0</v>
      </c>
      <c r="E22" s="19">
        <v>0</v>
      </c>
      <c r="F22" s="20">
        <v>0</v>
      </c>
      <c r="G22" s="18">
        <v>0</v>
      </c>
      <c r="H22" s="18">
        <v>0</v>
      </c>
      <c r="I22" s="18">
        <v>0</v>
      </c>
      <c r="J22" s="18">
        <v>0</v>
      </c>
      <c r="K22" s="21">
        <v>0</v>
      </c>
      <c r="L22" s="19">
        <v>0</v>
      </c>
      <c r="M22" s="19">
        <v>0</v>
      </c>
      <c r="N22" s="19">
        <v>0</v>
      </c>
      <c r="O22" s="18"/>
      <c r="P22" s="18"/>
    </row>
    <row r="23" spans="2:16" ht="11.25">
      <c r="B23" s="2" t="s">
        <v>20</v>
      </c>
      <c r="C23" s="18">
        <v>107905</v>
      </c>
      <c r="D23" s="18">
        <v>85801</v>
      </c>
      <c r="E23" s="19">
        <v>81494</v>
      </c>
      <c r="F23" s="20">
        <v>97344</v>
      </c>
      <c r="G23" s="18">
        <f>5455+103592</f>
        <v>109047</v>
      </c>
      <c r="H23" s="18">
        <v>71265</v>
      </c>
      <c r="I23" s="18">
        <v>51495</v>
      </c>
      <c r="J23" s="18">
        <v>57726</v>
      </c>
      <c r="K23" s="21">
        <v>67686</v>
      </c>
      <c r="L23" s="19">
        <v>7535</v>
      </c>
      <c r="M23" s="19">
        <v>32996</v>
      </c>
      <c r="N23" s="19">
        <v>58924</v>
      </c>
      <c r="O23" s="18">
        <v>6139</v>
      </c>
      <c r="P23" s="18">
        <v>16005</v>
      </c>
    </row>
    <row r="24" spans="2:16" ht="11.25">
      <c r="B24" s="2" t="s">
        <v>21</v>
      </c>
      <c r="C24" s="18">
        <v>245663</v>
      </c>
      <c r="D24" s="18">
        <v>243820</v>
      </c>
      <c r="E24" s="19">
        <v>245055</v>
      </c>
      <c r="F24" s="20">
        <f>1462+377+166723</f>
        <v>168562</v>
      </c>
      <c r="G24" s="18">
        <f>2589+14382+219895</f>
        <v>236866</v>
      </c>
      <c r="H24" s="18">
        <v>246792</v>
      </c>
      <c r="I24" s="18">
        <v>227786</v>
      </c>
      <c r="J24" s="18">
        <v>213284</v>
      </c>
      <c r="K24" s="21">
        <v>76648</v>
      </c>
      <c r="L24" s="19">
        <v>227340</v>
      </c>
      <c r="M24" s="19">
        <v>385877</v>
      </c>
      <c r="N24" s="19">
        <v>364239</v>
      </c>
      <c r="O24" s="18">
        <v>409769</v>
      </c>
      <c r="P24" s="18">
        <v>403835</v>
      </c>
    </row>
    <row r="25" spans="1:16" ht="11.25">
      <c r="A25" s="3" t="s">
        <v>22</v>
      </c>
      <c r="B25" s="3"/>
      <c r="C25" s="22">
        <v>49074</v>
      </c>
      <c r="D25" s="22">
        <v>44936</v>
      </c>
      <c r="E25" s="22">
        <v>38363</v>
      </c>
      <c r="F25" s="23">
        <v>114763</v>
      </c>
      <c r="G25" s="22">
        <v>125524</v>
      </c>
      <c r="H25" s="22">
        <v>123380</v>
      </c>
      <c r="I25" s="22">
        <v>123976</v>
      </c>
      <c r="J25" s="22">
        <v>122111</v>
      </c>
      <c r="K25" s="24">
        <v>102192</v>
      </c>
      <c r="L25" s="22">
        <v>23359</v>
      </c>
      <c r="M25" s="22">
        <v>21138</v>
      </c>
      <c r="N25" s="22">
        <v>20938</v>
      </c>
      <c r="O25" s="22">
        <v>21050</v>
      </c>
      <c r="P25" s="22">
        <v>21693</v>
      </c>
    </row>
    <row r="26" spans="1:16" ht="11.25">
      <c r="A26" s="12" t="s">
        <v>23</v>
      </c>
      <c r="E26" s="4"/>
      <c r="F26" s="25"/>
      <c r="H26" s="18"/>
      <c r="J26" s="18"/>
      <c r="K26" s="21"/>
      <c r="L26" s="26"/>
      <c r="M26" s="19"/>
      <c r="N26" s="19"/>
      <c r="O26" s="18"/>
      <c r="P26" s="18"/>
    </row>
    <row r="27" spans="1:16" ht="11.25">
      <c r="A27" s="2" t="s">
        <v>12</v>
      </c>
      <c r="C27" s="19">
        <f aca="true" t="shared" si="4" ref="C27:J27">(C10+G10)/2</f>
        <v>1244949.5</v>
      </c>
      <c r="D27" s="19">
        <f t="shared" si="4"/>
        <v>1176415</v>
      </c>
      <c r="E27" s="19">
        <f t="shared" si="4"/>
        <v>1192095.5</v>
      </c>
      <c r="F27" s="20">
        <f t="shared" si="4"/>
        <v>1207174</v>
      </c>
      <c r="G27" s="18">
        <f t="shared" si="4"/>
        <v>1078147</v>
      </c>
      <c r="H27" s="18">
        <f t="shared" si="4"/>
        <v>1033480</v>
      </c>
      <c r="I27" s="18">
        <f t="shared" si="4"/>
        <v>1155253</v>
      </c>
      <c r="J27" s="18">
        <f t="shared" si="4"/>
        <v>1152829</v>
      </c>
      <c r="K27" s="21">
        <f>(K10+1104535)/2</f>
        <v>999898.5</v>
      </c>
      <c r="L27" s="19">
        <f>(L10+1039052)/2</f>
        <v>959849.5</v>
      </c>
      <c r="M27" s="19">
        <f>(M10+1050653)/2</f>
        <v>1073417</v>
      </c>
      <c r="N27" s="19">
        <f>(N10+1038916)/2</f>
        <v>1066552</v>
      </c>
      <c r="O27" s="18">
        <f>(O10+P10)/2</f>
        <v>1064929</v>
      </c>
      <c r="P27" s="18">
        <f>(P10+842851)/2</f>
        <v>934087</v>
      </c>
    </row>
    <row r="28" spans="1:16" ht="11.25">
      <c r="A28" s="2" t="s">
        <v>24</v>
      </c>
      <c r="C28" s="19">
        <f aca="true" t="shared" si="5" ref="C28:P28">C29+C30</f>
        <v>907360.5</v>
      </c>
      <c r="D28" s="19">
        <f t="shared" si="5"/>
        <v>928898</v>
      </c>
      <c r="E28" s="19">
        <f t="shared" si="5"/>
        <v>899441</v>
      </c>
      <c r="F28" s="20">
        <f t="shared" si="5"/>
        <v>896957</v>
      </c>
      <c r="G28" s="18">
        <f t="shared" si="5"/>
        <v>763617</v>
      </c>
      <c r="H28" s="18">
        <f t="shared" si="5"/>
        <v>769718.5</v>
      </c>
      <c r="I28" s="18">
        <f t="shared" si="5"/>
        <v>767216.5</v>
      </c>
      <c r="J28" s="18">
        <f t="shared" si="5"/>
        <v>762145</v>
      </c>
      <c r="K28" s="21">
        <f t="shared" si="5"/>
        <v>615549</v>
      </c>
      <c r="L28" s="19">
        <f t="shared" si="5"/>
        <v>607549</v>
      </c>
      <c r="M28" s="19">
        <f t="shared" si="5"/>
        <v>613917</v>
      </c>
      <c r="N28" s="19">
        <f t="shared" si="5"/>
        <v>598509</v>
      </c>
      <c r="O28" s="18">
        <f t="shared" si="5"/>
        <v>585434</v>
      </c>
      <c r="P28" s="18">
        <f t="shared" si="5"/>
        <v>522119.5</v>
      </c>
    </row>
    <row r="29" spans="2:16" ht="11.25">
      <c r="B29" s="2" t="s">
        <v>14</v>
      </c>
      <c r="C29" s="19">
        <f aca="true" t="shared" si="6" ref="C29:K29">(C12+G12)/2</f>
        <v>827050.5</v>
      </c>
      <c r="D29" s="19">
        <f t="shared" si="6"/>
        <v>854563</v>
      </c>
      <c r="E29" s="19">
        <f t="shared" si="6"/>
        <v>849174.5</v>
      </c>
      <c r="F29" s="20">
        <f t="shared" si="6"/>
        <v>847333</v>
      </c>
      <c r="G29" s="18">
        <f t="shared" si="6"/>
        <v>723600</v>
      </c>
      <c r="H29" s="18">
        <f t="shared" si="6"/>
        <v>738189.5</v>
      </c>
      <c r="I29" s="18">
        <f t="shared" si="6"/>
        <v>743514.5</v>
      </c>
      <c r="J29" s="18">
        <f t="shared" si="6"/>
        <v>734071.5</v>
      </c>
      <c r="K29" s="21">
        <f t="shared" si="6"/>
        <v>603275</v>
      </c>
      <c r="L29" s="26">
        <f>(L12+600740)/2</f>
        <v>600771</v>
      </c>
      <c r="M29" s="19">
        <f>(M12+590224)/2</f>
        <v>606765</v>
      </c>
      <c r="N29" s="19">
        <f>(N12+563734)/2</f>
        <v>590984</v>
      </c>
      <c r="O29" s="18">
        <f>(O12+P12)/2</f>
        <v>577674.5</v>
      </c>
      <c r="P29" s="18">
        <f>(P12+472003)/2</f>
        <v>513966.5</v>
      </c>
    </row>
    <row r="30" spans="2:16" ht="11.25">
      <c r="B30" s="2" t="s">
        <v>17</v>
      </c>
      <c r="C30" s="19">
        <f aca="true" t="shared" si="7" ref="C30:K30">(C15+G15)/2</f>
        <v>80310</v>
      </c>
      <c r="D30" s="19">
        <f t="shared" si="7"/>
        <v>74335</v>
      </c>
      <c r="E30" s="19">
        <f t="shared" si="7"/>
        <v>50266.5</v>
      </c>
      <c r="F30" s="20">
        <f t="shared" si="7"/>
        <v>49624</v>
      </c>
      <c r="G30" s="18">
        <f t="shared" si="7"/>
        <v>40017</v>
      </c>
      <c r="H30" s="18">
        <f t="shared" si="7"/>
        <v>31529</v>
      </c>
      <c r="I30" s="18">
        <f t="shared" si="7"/>
        <v>23702</v>
      </c>
      <c r="J30" s="18">
        <f t="shared" si="7"/>
        <v>28073.5</v>
      </c>
      <c r="K30" s="21">
        <f t="shared" si="7"/>
        <v>12274</v>
      </c>
      <c r="L30" s="26">
        <f>(L15+7383)/2</f>
        <v>6778</v>
      </c>
      <c r="M30" s="19">
        <f>(M15+7734)/2</f>
        <v>7152</v>
      </c>
      <c r="N30" s="19">
        <f>(N15+8449)/2</f>
        <v>7525</v>
      </c>
      <c r="O30" s="18">
        <f>(O15+P15)/2</f>
        <v>7759.5</v>
      </c>
      <c r="P30" s="18">
        <f>(P15+7815)/2</f>
        <v>8153</v>
      </c>
    </row>
    <row r="31" spans="1:16" ht="11.25">
      <c r="A31" s="3" t="s">
        <v>22</v>
      </c>
      <c r="B31" s="3"/>
      <c r="C31" s="22">
        <f aca="true" t="shared" si="8" ref="C31:K31">(C25+G25)/2</f>
        <v>87299</v>
      </c>
      <c r="D31" s="22">
        <f t="shared" si="8"/>
        <v>84158</v>
      </c>
      <c r="E31" s="22">
        <f t="shared" si="8"/>
        <v>81169.5</v>
      </c>
      <c r="F31" s="23">
        <f t="shared" si="8"/>
        <v>118437</v>
      </c>
      <c r="G31" s="22">
        <f t="shared" si="8"/>
        <v>113858</v>
      </c>
      <c r="H31" s="22">
        <f t="shared" si="8"/>
        <v>73369.5</v>
      </c>
      <c r="I31" s="22">
        <f t="shared" si="8"/>
        <v>72557</v>
      </c>
      <c r="J31" s="22">
        <f t="shared" si="8"/>
        <v>71524.5</v>
      </c>
      <c r="K31" s="24">
        <f t="shared" si="8"/>
        <v>61621</v>
      </c>
      <c r="L31" s="27">
        <f>(L25+21659)/2</f>
        <v>22509</v>
      </c>
      <c r="M31" s="22">
        <f>(M25+21451)/2</f>
        <v>21294.5</v>
      </c>
      <c r="N31" s="22">
        <f>(N25+20449)/2</f>
        <v>20693.5</v>
      </c>
      <c r="O31" s="22">
        <f>(O25+P25)/2</f>
        <v>21371.5</v>
      </c>
      <c r="P31" s="22">
        <f>(P25+23081)/2</f>
        <v>22387</v>
      </c>
    </row>
    <row r="32" spans="1:14" ht="11.25">
      <c r="A32" s="12" t="s">
        <v>25</v>
      </c>
      <c r="E32" s="4"/>
      <c r="F32" s="25"/>
      <c r="H32" s="18"/>
      <c r="J32" s="18"/>
      <c r="K32" s="28"/>
      <c r="L32" s="4"/>
      <c r="M32" s="4"/>
      <c r="N32" s="4"/>
    </row>
    <row r="33" spans="1:16" ht="11.25">
      <c r="A33" s="2" t="s">
        <v>26</v>
      </c>
      <c r="C33" s="18">
        <v>70587</v>
      </c>
      <c r="D33" s="18">
        <v>53692</v>
      </c>
      <c r="E33" s="19">
        <v>35505</v>
      </c>
      <c r="F33" s="29">
        <v>17755</v>
      </c>
      <c r="G33" s="30">
        <v>85873</v>
      </c>
      <c r="H33" s="18">
        <f>I33+21804</f>
        <v>66146</v>
      </c>
      <c r="I33" s="18">
        <f>J33+21537</f>
        <v>44342</v>
      </c>
      <c r="J33" s="18">
        <v>22805</v>
      </c>
      <c r="K33" s="21">
        <f>16776+L33</f>
        <v>76303</v>
      </c>
      <c r="L33" s="19">
        <f>17181+M33</f>
        <v>59527</v>
      </c>
      <c r="M33" s="19">
        <f>21379+N33</f>
        <v>42346</v>
      </c>
      <c r="N33" s="19">
        <v>20967</v>
      </c>
      <c r="O33" s="18">
        <v>78724</v>
      </c>
      <c r="P33" s="18">
        <v>70530</v>
      </c>
    </row>
    <row r="34" spans="1:16" ht="11.25">
      <c r="A34" s="2" t="s">
        <v>27</v>
      </c>
      <c r="C34" s="18">
        <v>27133</v>
      </c>
      <c r="D34" s="18">
        <v>20815</v>
      </c>
      <c r="E34" s="19">
        <v>14155</v>
      </c>
      <c r="F34" s="29">
        <v>7189</v>
      </c>
      <c r="G34" s="30">
        <v>46174</v>
      </c>
      <c r="H34" s="18">
        <f>I34+11960</f>
        <v>37086</v>
      </c>
      <c r="I34" s="18">
        <f>J34+11509</f>
        <v>25126</v>
      </c>
      <c r="J34" s="18">
        <v>13617</v>
      </c>
      <c r="K34" s="21">
        <f>10765+L34</f>
        <v>48147</v>
      </c>
      <c r="L34" s="19">
        <f>10786+M34</f>
        <v>37382</v>
      </c>
      <c r="M34" s="19">
        <f>14213+N34</f>
        <v>26596</v>
      </c>
      <c r="N34" s="19">
        <v>12383</v>
      </c>
      <c r="O34" s="18">
        <v>44137</v>
      </c>
      <c r="P34" s="18">
        <v>35615</v>
      </c>
    </row>
    <row r="35" spans="1:16" ht="11.25">
      <c r="A35" s="2" t="s">
        <v>28</v>
      </c>
      <c r="C35" s="19">
        <f aca="true" t="shared" si="9" ref="C35:P35">C33-C34</f>
        <v>43454</v>
      </c>
      <c r="D35" s="19">
        <f t="shared" si="9"/>
        <v>32877</v>
      </c>
      <c r="E35" s="19">
        <f t="shared" si="9"/>
        <v>21350</v>
      </c>
      <c r="F35" s="20">
        <f t="shared" si="9"/>
        <v>10566</v>
      </c>
      <c r="G35" s="18">
        <f t="shared" si="9"/>
        <v>39699</v>
      </c>
      <c r="H35" s="18">
        <f t="shared" si="9"/>
        <v>29060</v>
      </c>
      <c r="I35" s="18">
        <f t="shared" si="9"/>
        <v>19216</v>
      </c>
      <c r="J35" s="18">
        <f t="shared" si="9"/>
        <v>9188</v>
      </c>
      <c r="K35" s="21">
        <f t="shared" si="9"/>
        <v>28156</v>
      </c>
      <c r="L35" s="19">
        <f t="shared" si="9"/>
        <v>22145</v>
      </c>
      <c r="M35" s="19">
        <f t="shared" si="9"/>
        <v>15750</v>
      </c>
      <c r="N35" s="19">
        <f t="shared" si="9"/>
        <v>8584</v>
      </c>
      <c r="O35" s="18">
        <f t="shared" si="9"/>
        <v>34587</v>
      </c>
      <c r="P35" s="18">
        <f t="shared" si="9"/>
        <v>34915</v>
      </c>
    </row>
    <row r="36" spans="1:16" ht="11.25">
      <c r="A36" s="2" t="s">
        <v>29</v>
      </c>
      <c r="C36" s="18">
        <v>18206</v>
      </c>
      <c r="D36" s="18">
        <v>14306</v>
      </c>
      <c r="E36" s="19">
        <v>9273</v>
      </c>
      <c r="F36" s="29">
        <v>4575</v>
      </c>
      <c r="G36" s="30">
        <v>16549</v>
      </c>
      <c r="H36" s="18">
        <f>I36+3462</f>
        <v>11692</v>
      </c>
      <c r="I36" s="18">
        <f>J36+3799</f>
        <v>8230</v>
      </c>
      <c r="J36" s="18">
        <v>4431</v>
      </c>
      <c r="K36" s="21">
        <f>3507+L36</f>
        <v>17256</v>
      </c>
      <c r="L36" s="19">
        <f>7002+M36</f>
        <v>13749</v>
      </c>
      <c r="M36" s="19">
        <f>3798+N36</f>
        <v>6747</v>
      </c>
      <c r="N36" s="19">
        <v>2949</v>
      </c>
      <c r="O36" s="18">
        <v>14408</v>
      </c>
      <c r="P36" s="18">
        <v>10733</v>
      </c>
    </row>
    <row r="37" spans="1:16" ht="11.25">
      <c r="A37" s="2" t="s">
        <v>30</v>
      </c>
      <c r="C37" s="19">
        <f aca="true" t="shared" si="10" ref="C37:P37">C35+C36</f>
        <v>61660</v>
      </c>
      <c r="D37" s="19">
        <f t="shared" si="10"/>
        <v>47183</v>
      </c>
      <c r="E37" s="19">
        <f t="shared" si="10"/>
        <v>30623</v>
      </c>
      <c r="F37" s="20">
        <f t="shared" si="10"/>
        <v>15141</v>
      </c>
      <c r="G37" s="18">
        <f t="shared" si="10"/>
        <v>56248</v>
      </c>
      <c r="H37" s="18">
        <f t="shared" si="10"/>
        <v>40752</v>
      </c>
      <c r="I37" s="18">
        <f t="shared" si="10"/>
        <v>27446</v>
      </c>
      <c r="J37" s="18">
        <f t="shared" si="10"/>
        <v>13619</v>
      </c>
      <c r="K37" s="21">
        <f t="shared" si="10"/>
        <v>45412</v>
      </c>
      <c r="L37" s="19">
        <f t="shared" si="10"/>
        <v>35894</v>
      </c>
      <c r="M37" s="19">
        <f t="shared" si="10"/>
        <v>22497</v>
      </c>
      <c r="N37" s="19">
        <f t="shared" si="10"/>
        <v>11533</v>
      </c>
      <c r="O37" s="18">
        <f t="shared" si="10"/>
        <v>48995</v>
      </c>
      <c r="P37" s="18">
        <f t="shared" si="10"/>
        <v>45648</v>
      </c>
    </row>
    <row r="38" spans="1:16" ht="11.25">
      <c r="A38" s="2" t="s">
        <v>31</v>
      </c>
      <c r="C38" s="18">
        <v>41182</v>
      </c>
      <c r="D38" s="18">
        <v>30260</v>
      </c>
      <c r="E38" s="19">
        <v>18894</v>
      </c>
      <c r="F38" s="29">
        <v>8973</v>
      </c>
      <c r="G38" s="30">
        <v>40548</v>
      </c>
      <c r="H38" s="18">
        <f>I38+10620</f>
        <v>33858</v>
      </c>
      <c r="I38" s="18">
        <f>J38+12271</f>
        <v>23238</v>
      </c>
      <c r="J38" s="18">
        <v>10967</v>
      </c>
      <c r="K38" s="21">
        <f>8639+L38</f>
        <v>36739</v>
      </c>
      <c r="L38" s="19">
        <f>12360+M38</f>
        <v>28100</v>
      </c>
      <c r="M38" s="19">
        <f>7339+N38</f>
        <v>15740</v>
      </c>
      <c r="N38" s="19">
        <v>8401</v>
      </c>
      <c r="O38" s="18">
        <v>30479</v>
      </c>
      <c r="P38" s="18">
        <v>28999</v>
      </c>
    </row>
    <row r="39" spans="1:16" ht="11.25">
      <c r="A39" s="2" t="s">
        <v>32</v>
      </c>
      <c r="C39" s="19">
        <f aca="true" t="shared" si="11" ref="C39:P39">C37-C38</f>
        <v>20478</v>
      </c>
      <c r="D39" s="19">
        <f t="shared" si="11"/>
        <v>16923</v>
      </c>
      <c r="E39" s="19">
        <f t="shared" si="11"/>
        <v>11729</v>
      </c>
      <c r="F39" s="20">
        <f t="shared" si="11"/>
        <v>6168</v>
      </c>
      <c r="G39" s="18">
        <f t="shared" si="11"/>
        <v>15700</v>
      </c>
      <c r="H39" s="18">
        <f t="shared" si="11"/>
        <v>6894</v>
      </c>
      <c r="I39" s="18">
        <f t="shared" si="11"/>
        <v>4208</v>
      </c>
      <c r="J39" s="18">
        <f t="shared" si="11"/>
        <v>2652</v>
      </c>
      <c r="K39" s="21">
        <f t="shared" si="11"/>
        <v>8673</v>
      </c>
      <c r="L39" s="19">
        <f t="shared" si="11"/>
        <v>7794</v>
      </c>
      <c r="M39" s="19">
        <f t="shared" si="11"/>
        <v>6757</v>
      </c>
      <c r="N39" s="19">
        <f t="shared" si="11"/>
        <v>3132</v>
      </c>
      <c r="O39" s="18">
        <f t="shared" si="11"/>
        <v>18516</v>
      </c>
      <c r="P39" s="18">
        <f t="shared" si="11"/>
        <v>16649</v>
      </c>
    </row>
    <row r="40" spans="1:16" ht="11.25">
      <c r="A40" s="3" t="s">
        <v>33</v>
      </c>
      <c r="B40" s="3"/>
      <c r="C40" s="22">
        <v>1141</v>
      </c>
      <c r="D40" s="22">
        <v>-1363</v>
      </c>
      <c r="E40" s="22">
        <v>-8633</v>
      </c>
      <c r="F40" s="31">
        <v>2733</v>
      </c>
      <c r="G40" s="32">
        <v>6003</v>
      </c>
      <c r="H40" s="22">
        <f>I40-258</f>
        <v>3858</v>
      </c>
      <c r="I40" s="22">
        <f>J40+1526</f>
        <v>4116</v>
      </c>
      <c r="J40" s="22">
        <v>2590</v>
      </c>
      <c r="K40" s="33">
        <f>-3668+L40</f>
        <v>-1005</v>
      </c>
      <c r="L40" s="22">
        <f>-1105+M40</f>
        <v>2663</v>
      </c>
      <c r="M40" s="22">
        <f>1630+N40</f>
        <v>3768</v>
      </c>
      <c r="N40" s="22">
        <v>2138</v>
      </c>
      <c r="O40" s="22">
        <v>14889</v>
      </c>
      <c r="P40" s="22">
        <v>14924</v>
      </c>
    </row>
    <row r="41" spans="1:16" ht="11.25">
      <c r="A41" s="12" t="s">
        <v>34</v>
      </c>
      <c r="E41" s="19"/>
      <c r="F41" s="25"/>
      <c r="H41" s="18"/>
      <c r="I41" s="18"/>
      <c r="K41" s="21"/>
      <c r="L41" s="19"/>
      <c r="M41" s="19"/>
      <c r="N41" s="19"/>
      <c r="O41" s="18"/>
      <c r="P41" s="18"/>
    </row>
    <row r="42" spans="1:16" ht="11.25">
      <c r="A42" s="2" t="s">
        <v>35</v>
      </c>
      <c r="C42" s="18">
        <v>21193</v>
      </c>
      <c r="D42" s="18">
        <v>24653</v>
      </c>
      <c r="E42" s="19">
        <v>35226</v>
      </c>
      <c r="F42" s="20">
        <v>39553</v>
      </c>
      <c r="G42" s="18">
        <v>28978</v>
      </c>
      <c r="H42" s="18">
        <v>25852</v>
      </c>
      <c r="I42" s="18">
        <v>17312</v>
      </c>
      <c r="J42" s="18">
        <v>19528</v>
      </c>
      <c r="K42" s="21">
        <v>8969</v>
      </c>
      <c r="L42" s="19">
        <v>7868</v>
      </c>
      <c r="M42" s="19">
        <v>5078</v>
      </c>
      <c r="N42" s="19">
        <v>5103</v>
      </c>
      <c r="O42" s="18">
        <v>5824</v>
      </c>
      <c r="P42" s="18">
        <v>4620</v>
      </c>
    </row>
    <row r="43" spans="1:16" ht="11.25">
      <c r="A43" s="2" t="s">
        <v>36</v>
      </c>
      <c r="C43" s="18">
        <v>32821</v>
      </c>
      <c r="D43" s="18">
        <v>32715</v>
      </c>
      <c r="E43" s="19">
        <v>38671</v>
      </c>
      <c r="F43" s="20">
        <v>25708</v>
      </c>
      <c r="G43" s="18">
        <v>4874</v>
      </c>
      <c r="H43" s="18">
        <v>5563</v>
      </c>
      <c r="I43" s="18">
        <v>4950</v>
      </c>
      <c r="J43" s="18">
        <v>4212</v>
      </c>
      <c r="K43" s="21">
        <v>3856</v>
      </c>
      <c r="L43" s="19">
        <v>0</v>
      </c>
      <c r="M43" s="19">
        <v>0</v>
      </c>
      <c r="N43" s="19">
        <v>0</v>
      </c>
      <c r="O43" s="18">
        <v>0</v>
      </c>
      <c r="P43" s="18">
        <v>0</v>
      </c>
    </row>
    <row r="44" spans="1:16" ht="11.25">
      <c r="A44" s="2" t="s">
        <v>37</v>
      </c>
      <c r="C44" s="34">
        <f aca="true" t="shared" si="12" ref="C44:P44">C42/C12</f>
        <v>0.026034603062287477</v>
      </c>
      <c r="D44" s="34">
        <f t="shared" si="12"/>
        <v>0.029575945745241132</v>
      </c>
      <c r="E44" s="34">
        <f t="shared" si="12"/>
        <v>0.04220573047089355</v>
      </c>
      <c r="F44" s="35">
        <f t="shared" si="12"/>
        <v>0.04682174873957837</v>
      </c>
      <c r="G44" s="36">
        <f t="shared" si="12"/>
        <v>0.03449478554737766</v>
      </c>
      <c r="H44" s="36">
        <f t="shared" si="12"/>
        <v>0.02952567278491783</v>
      </c>
      <c r="I44" s="36">
        <f t="shared" si="12"/>
        <v>0.020043463008395053</v>
      </c>
      <c r="J44" s="36">
        <f t="shared" si="12"/>
        <v>0.022976577492413892</v>
      </c>
      <c r="K44" s="37">
        <f t="shared" si="12"/>
        <v>0.014772759091530493</v>
      </c>
      <c r="L44" s="34">
        <f t="shared" si="12"/>
        <v>0.013095828575803676</v>
      </c>
      <c r="M44" s="34">
        <f t="shared" si="12"/>
        <v>0.008146881307094749</v>
      </c>
      <c r="N44" s="34">
        <f t="shared" si="12"/>
        <v>0.008254156193286037</v>
      </c>
      <c r="O44" s="36">
        <f t="shared" si="12"/>
        <v>0.009716075066022265</v>
      </c>
      <c r="P44" s="36">
        <f t="shared" si="12"/>
        <v>0.00831039879121472</v>
      </c>
    </row>
    <row r="45" spans="1:16" ht="11.25">
      <c r="A45" s="2" t="s">
        <v>38</v>
      </c>
      <c r="C45" s="34">
        <f aca="true" t="shared" si="13" ref="C45:P45">C43/C42</f>
        <v>1.5486717312320106</v>
      </c>
      <c r="D45" s="34">
        <f t="shared" si="13"/>
        <v>1.3270190240538677</v>
      </c>
      <c r="E45" s="34">
        <f t="shared" si="13"/>
        <v>1.0977970817010163</v>
      </c>
      <c r="F45" s="35">
        <f t="shared" si="13"/>
        <v>0.6499633403281673</v>
      </c>
      <c r="G45" s="36">
        <f t="shared" si="13"/>
        <v>0.16819656290979362</v>
      </c>
      <c r="H45" s="36">
        <f t="shared" si="13"/>
        <v>0.215186445922946</v>
      </c>
      <c r="I45" s="36">
        <f t="shared" si="13"/>
        <v>0.28592883548983367</v>
      </c>
      <c r="J45" s="36">
        <f t="shared" si="13"/>
        <v>0.21569029086439984</v>
      </c>
      <c r="K45" s="37">
        <f t="shared" si="13"/>
        <v>0.42992529824952613</v>
      </c>
      <c r="L45" s="34">
        <f t="shared" si="13"/>
        <v>0</v>
      </c>
      <c r="M45" s="34">
        <f t="shared" si="13"/>
        <v>0</v>
      </c>
      <c r="N45" s="34">
        <f t="shared" si="13"/>
        <v>0</v>
      </c>
      <c r="O45" s="36">
        <f t="shared" si="13"/>
        <v>0</v>
      </c>
      <c r="P45" s="36">
        <f t="shared" si="13"/>
        <v>0</v>
      </c>
    </row>
    <row r="46" spans="1:16" ht="11.25">
      <c r="A46" s="3" t="s">
        <v>39</v>
      </c>
      <c r="B46" s="3"/>
      <c r="C46" s="38">
        <f aca="true" t="shared" si="14" ref="C46:P46">C43/C12</f>
        <v>0.04031905379641095</v>
      </c>
      <c r="D46" s="38">
        <f t="shared" si="14"/>
        <v>0.03924784265832003</v>
      </c>
      <c r="E46" s="38">
        <f t="shared" si="14"/>
        <v>0.0463333277420066</v>
      </c>
      <c r="F46" s="39">
        <f t="shared" si="14"/>
        <v>0.030432420210782508</v>
      </c>
      <c r="G46" s="38">
        <f t="shared" si="14"/>
        <v>0.005801904367379347</v>
      </c>
      <c r="H46" s="38">
        <f t="shared" si="14"/>
        <v>0.006353524590070319</v>
      </c>
      <c r="I46" s="38">
        <f t="shared" si="14"/>
        <v>0.005731004037173955</v>
      </c>
      <c r="J46" s="38">
        <f t="shared" si="14"/>
        <v>0.004955824682407175</v>
      </c>
      <c r="K46" s="40">
        <f t="shared" si="14"/>
        <v>0.0063511828583946465</v>
      </c>
      <c r="L46" s="38">
        <f t="shared" si="14"/>
        <v>0</v>
      </c>
      <c r="M46" s="38">
        <f t="shared" si="14"/>
        <v>0</v>
      </c>
      <c r="N46" s="38">
        <f t="shared" si="14"/>
        <v>0</v>
      </c>
      <c r="O46" s="38">
        <f t="shared" si="14"/>
        <v>0</v>
      </c>
      <c r="P46" s="38">
        <f t="shared" si="14"/>
        <v>0</v>
      </c>
    </row>
    <row r="47" spans="1:14" ht="11.25">
      <c r="A47" s="12" t="s">
        <v>40</v>
      </c>
      <c r="E47" s="4"/>
      <c r="F47" s="25"/>
      <c r="K47" s="28"/>
      <c r="L47" s="4"/>
      <c r="M47" s="4"/>
      <c r="N47" s="4"/>
    </row>
    <row r="48" spans="1:16" ht="11.25">
      <c r="A48" s="2" t="s">
        <v>41</v>
      </c>
      <c r="C48" s="34">
        <f aca="true" t="shared" si="15" ref="C48:P48">C25/(C12+C15)</f>
        <v>0.05380106957499852</v>
      </c>
      <c r="D48" s="34">
        <f t="shared" si="15"/>
        <v>0.048561924667201245</v>
      </c>
      <c r="E48" s="34">
        <f t="shared" si="15"/>
        <v>0.042896038912028624</v>
      </c>
      <c r="F48" s="35">
        <f t="shared" si="15"/>
        <v>0.12830437169283332</v>
      </c>
      <c r="G48" s="36">
        <f t="shared" si="15"/>
        <v>0.13907197454416934</v>
      </c>
      <c r="H48" s="36">
        <f t="shared" si="15"/>
        <v>0.13231638393843395</v>
      </c>
      <c r="I48" s="36">
        <f t="shared" si="15"/>
        <v>0.137057145099756</v>
      </c>
      <c r="J48" s="36">
        <f t="shared" si="15"/>
        <v>0.13576109977708722</v>
      </c>
      <c r="K48" s="37">
        <f t="shared" si="15"/>
        <v>0.16359855343223656</v>
      </c>
      <c r="L48" s="34">
        <f t="shared" si="15"/>
        <v>0.03848428683224186</v>
      </c>
      <c r="M48" s="34">
        <f t="shared" si="15"/>
        <v>0.03355898621315941</v>
      </c>
      <c r="N48" s="34">
        <f t="shared" si="15"/>
        <v>0.033509646546688324</v>
      </c>
      <c r="O48" s="36">
        <f t="shared" si="15"/>
        <v>0.034710370403349344</v>
      </c>
      <c r="P48" s="36">
        <f t="shared" si="15"/>
        <v>0.038434076690980666</v>
      </c>
    </row>
    <row r="49" spans="1:16" ht="11.25">
      <c r="A49" s="3" t="s">
        <v>42</v>
      </c>
      <c r="B49" s="3"/>
      <c r="C49" s="38">
        <f>C25/C10</f>
        <v>0.03993434602768241</v>
      </c>
      <c r="D49" s="38">
        <f>D25/D10</f>
        <v>0.03852151318840617</v>
      </c>
      <c r="E49" s="38">
        <f>E25/E10</f>
        <v>0.0327926446276753</v>
      </c>
      <c r="F49" s="39">
        <f>F25/F12</f>
        <v>0.13585326904660155</v>
      </c>
      <c r="G49" s="38">
        <f>G25/G12</f>
        <v>0.14942105946059192</v>
      </c>
      <c r="H49" s="38">
        <f aca="true" t="shared" si="16" ref="H49:P49">H25/H10</f>
        <v>0.10400290648420779</v>
      </c>
      <c r="I49" s="38">
        <f t="shared" si="16"/>
        <v>0.10209457929302287</v>
      </c>
      <c r="J49" s="38">
        <f t="shared" si="16"/>
        <v>0.10079572750460185</v>
      </c>
      <c r="K49" s="40">
        <f t="shared" si="16"/>
        <v>0.11414759031434374</v>
      </c>
      <c r="L49" s="38">
        <f t="shared" si="16"/>
        <v>0.026524816413386977</v>
      </c>
      <c r="M49" s="38">
        <f t="shared" si="16"/>
        <v>0.01928331178883779</v>
      </c>
      <c r="N49" s="38">
        <f t="shared" si="16"/>
        <v>0.019135651277476996</v>
      </c>
      <c r="O49" s="38">
        <f t="shared" si="16"/>
        <v>0.019057793551132376</v>
      </c>
      <c r="P49" s="38">
        <f t="shared" si="16"/>
        <v>0.02115723532974487</v>
      </c>
    </row>
    <row r="50" spans="1:16" ht="11.25">
      <c r="A50" s="12" t="s">
        <v>43</v>
      </c>
      <c r="E50" s="4"/>
      <c r="F50" s="25"/>
      <c r="J50" s="41"/>
      <c r="K50" s="42"/>
      <c r="L50" s="43"/>
      <c r="M50" s="43"/>
      <c r="N50" s="43"/>
      <c r="O50" s="41"/>
      <c r="P50" s="41"/>
    </row>
    <row r="51" spans="1:16" ht="11.25">
      <c r="A51" s="2" t="s">
        <v>44</v>
      </c>
      <c r="C51" s="43">
        <f aca="true" t="shared" si="17" ref="C51:P51">C11/C16</f>
        <v>0.24933730080678776</v>
      </c>
      <c r="D51" s="43">
        <f t="shared" si="17"/>
        <v>0.1933949277632526</v>
      </c>
      <c r="E51" s="43">
        <f t="shared" si="17"/>
        <v>0.22808964429392564</v>
      </c>
      <c r="F51" s="44">
        <f t="shared" si="17"/>
        <v>0.20036745221354627</v>
      </c>
      <c r="G51" s="41">
        <f t="shared" si="17"/>
        <v>0.23984519221123313</v>
      </c>
      <c r="H51" s="41">
        <f t="shared" si="17"/>
        <v>0.148666837873136</v>
      </c>
      <c r="I51" s="41">
        <f t="shared" si="17"/>
        <v>0.1917027456568203</v>
      </c>
      <c r="J51" s="41">
        <f t="shared" si="17"/>
        <v>0.20306322720600575</v>
      </c>
      <c r="K51" s="42">
        <f t="shared" si="17"/>
        <v>0.19568591639665928</v>
      </c>
      <c r="L51" s="43">
        <f t="shared" si="17"/>
        <v>0.18953374267191797</v>
      </c>
      <c r="M51" s="43">
        <f t="shared" si="17"/>
        <v>0.4111064162889251</v>
      </c>
      <c r="N51" s="43">
        <f t="shared" si="17"/>
        <v>0.4125943583631307</v>
      </c>
      <c r="O51" s="41">
        <f t="shared" si="17"/>
        <v>0.43083422960244233</v>
      </c>
      <c r="P51" s="41">
        <f t="shared" si="17"/>
        <v>0.4452687327911757</v>
      </c>
    </row>
    <row r="52" spans="1:16" ht="11.25">
      <c r="A52" s="2" t="s">
        <v>45</v>
      </c>
      <c r="C52" s="43">
        <f aca="true" t="shared" si="18" ref="C52:P52">C11/C10</f>
        <v>0.22488357161515446</v>
      </c>
      <c r="D52" s="43">
        <f t="shared" si="18"/>
        <v>0.17463183134064914</v>
      </c>
      <c r="E52" s="43">
        <f t="shared" si="18"/>
        <v>0.2034523612106002</v>
      </c>
      <c r="F52" s="44">
        <f t="shared" si="18"/>
        <v>0.16972294779686717</v>
      </c>
      <c r="G52" s="41">
        <f t="shared" si="18"/>
        <v>0.20286717545629293</v>
      </c>
      <c r="H52" s="41">
        <f t="shared" si="18"/>
        <v>0.1254112531852892</v>
      </c>
      <c r="I52" s="41">
        <f t="shared" si="18"/>
        <v>0.16419492310542894</v>
      </c>
      <c r="J52" s="41">
        <f t="shared" si="18"/>
        <v>0.17277027082800234</v>
      </c>
      <c r="K52" s="42">
        <f t="shared" si="18"/>
        <v>0.1641999772133744</v>
      </c>
      <c r="L52" s="43">
        <f t="shared" si="18"/>
        <v>0.17830867532620903</v>
      </c>
      <c r="M52" s="43">
        <f t="shared" si="18"/>
        <v>0.3914253211832717</v>
      </c>
      <c r="N52" s="43">
        <f t="shared" si="18"/>
        <v>0.38913331164297177</v>
      </c>
      <c r="O52" s="41">
        <f t="shared" si="18"/>
        <v>0.4043765023290344</v>
      </c>
      <c r="P52" s="41">
        <f t="shared" si="18"/>
        <v>0.41433382456065065</v>
      </c>
    </row>
    <row r="53" spans="1:16" ht="11.25">
      <c r="A53" s="3" t="s">
        <v>46</v>
      </c>
      <c r="B53" s="3"/>
      <c r="C53" s="45">
        <f aca="true" t="shared" si="19" ref="C53:P53">(C11+C15)/C16</f>
        <v>0.33785298092833826</v>
      </c>
      <c r="D53" s="45">
        <f t="shared" si="19"/>
        <v>0.28053186904158384</v>
      </c>
      <c r="E53" s="45">
        <f t="shared" si="19"/>
        <v>0.28529988442762927</v>
      </c>
      <c r="F53" s="46">
        <f t="shared" si="19"/>
        <v>0.24914712613896445</v>
      </c>
      <c r="G53" s="45">
        <f t="shared" si="19"/>
        <v>0.2984550160179934</v>
      </c>
      <c r="H53" s="45">
        <f t="shared" si="19"/>
        <v>0.2055097172994811</v>
      </c>
      <c r="I53" s="45">
        <f t="shared" si="19"/>
        <v>0.2309632249088771</v>
      </c>
      <c r="J53" s="45">
        <f t="shared" si="19"/>
        <v>0.25113146536042447</v>
      </c>
      <c r="K53" s="47">
        <f t="shared" si="19"/>
        <v>0.2190081654495257</v>
      </c>
      <c r="L53" s="45">
        <f t="shared" si="19"/>
        <v>0.19698463833644542</v>
      </c>
      <c r="M53" s="45">
        <f t="shared" si="19"/>
        <v>0.41740131052607876</v>
      </c>
      <c r="N53" s="45">
        <f t="shared" si="19"/>
        <v>0.4189908621374652</v>
      </c>
      <c r="O53" s="45">
        <f t="shared" si="19"/>
        <v>0.437613400147583</v>
      </c>
      <c r="P53" s="45">
        <f t="shared" si="19"/>
        <v>0.45416832182322614</v>
      </c>
    </row>
    <row r="54" spans="1:14" ht="11.25">
      <c r="A54" s="12" t="s">
        <v>47</v>
      </c>
      <c r="E54" s="4"/>
      <c r="F54" s="25"/>
      <c r="K54" s="28"/>
      <c r="L54" s="4"/>
      <c r="M54" s="4"/>
      <c r="N54" s="4"/>
    </row>
    <row r="55" spans="1:16" ht="11.25">
      <c r="A55" s="2" t="s">
        <v>48</v>
      </c>
      <c r="B55" s="4"/>
      <c r="C55" s="34">
        <f>(C40)/C28</f>
        <v>0.001257493576147518</v>
      </c>
      <c r="D55" s="34">
        <f>(D40/0.75)/D28</f>
        <v>-0.001956440140180443</v>
      </c>
      <c r="E55" s="34">
        <f>(E40/0.5)/E28</f>
        <v>-0.019196367521605084</v>
      </c>
      <c r="F55" s="35">
        <f>((F40)/0.25)/F28</f>
        <v>0.012187875227017572</v>
      </c>
      <c r="G55" s="48">
        <f>G40/G28</f>
        <v>0.00786127076793733</v>
      </c>
      <c r="H55" s="48">
        <f>(H40/0.75)/H28</f>
        <v>0.006682962667520658</v>
      </c>
      <c r="I55" s="36">
        <f>(I40/0.5)/I28</f>
        <v>0.010729696246105239</v>
      </c>
      <c r="J55" s="36">
        <f>((J40)/0.25)/J28</f>
        <v>0.01359321388974539</v>
      </c>
      <c r="K55" s="49">
        <f>K40/K28</f>
        <v>-0.001632688867986139</v>
      </c>
      <c r="L55" s="48">
        <f>(L40/0.75)/L28</f>
        <v>0.005844247405010405</v>
      </c>
      <c r="M55" s="48">
        <f>(M40/0.5)/M28</f>
        <v>0.012275274996457176</v>
      </c>
      <c r="N55" s="34">
        <f>((N40)/0.25)/N28</f>
        <v>0.01428884110347547</v>
      </c>
      <c r="O55" s="36">
        <f>O40/O28</f>
        <v>0.02543241424310853</v>
      </c>
      <c r="P55" s="36">
        <f>P40/P28</f>
        <v>0.028583494774663654</v>
      </c>
    </row>
    <row r="56" spans="1:16" ht="11.25">
      <c r="A56" s="2" t="s">
        <v>49</v>
      </c>
      <c r="B56" s="4"/>
      <c r="C56" s="34">
        <f>(C40)/C27</f>
        <v>0.0009165030388782838</v>
      </c>
      <c r="D56" s="34">
        <f>(D40/0.75)/D27</f>
        <v>-0.00154480632543221</v>
      </c>
      <c r="E56" s="34">
        <f>(E40/0.5)/E27</f>
        <v>-0.014483738928634493</v>
      </c>
      <c r="F56" s="35">
        <f>((F40)/0.25)/F27</f>
        <v>0.009055861044058271</v>
      </c>
      <c r="G56" s="48">
        <f>G40/G27</f>
        <v>0.005567886382840188</v>
      </c>
      <c r="H56" s="48">
        <f>(H40/0.75)/H27</f>
        <v>0.004977358052405465</v>
      </c>
      <c r="I56" s="36">
        <f>(I40/0.5)/I27</f>
        <v>0.00712571185705642</v>
      </c>
      <c r="J56" s="36">
        <f>((J40)/0.25)/J27</f>
        <v>0.008986588644109403</v>
      </c>
      <c r="K56" s="49">
        <f>K40/K27</f>
        <v>-0.0010051020178548124</v>
      </c>
      <c r="L56" s="48">
        <f>(L40/0.75)/L27</f>
        <v>0.0036991910363725422</v>
      </c>
      <c r="M56" s="48">
        <f>(M40/0.5)/M27</f>
        <v>0.00702057075675157</v>
      </c>
      <c r="N56" s="34">
        <f>((N40)/0.25)/N27</f>
        <v>0.008018361973912196</v>
      </c>
      <c r="O56" s="36">
        <f>O40/O27</f>
        <v>0.013981213771058916</v>
      </c>
      <c r="P56" s="36">
        <f>P40/P27</f>
        <v>0.01597709849296693</v>
      </c>
    </row>
    <row r="57" spans="1:16" ht="11.25">
      <c r="A57" s="2" t="s">
        <v>50</v>
      </c>
      <c r="B57" s="4"/>
      <c r="C57" s="34">
        <f>(C40)/C31</f>
        <v>0.013070023711611816</v>
      </c>
      <c r="D57" s="34">
        <f>(D40/0.75)/D31</f>
        <v>-0.021594302779692164</v>
      </c>
      <c r="E57" s="34">
        <f>(E40/0.5)/E31</f>
        <v>-0.21271536722537407</v>
      </c>
      <c r="F57" s="35">
        <f>((F40)/0.25)/F31</f>
        <v>0.09230223663213354</v>
      </c>
      <c r="G57" s="48">
        <f>+G40/G31</f>
        <v>0.05272356795306434</v>
      </c>
      <c r="H57" s="48">
        <f>(H40/0.75)/H31</f>
        <v>0.0701108771355945</v>
      </c>
      <c r="I57" s="36">
        <f>(I40/0.5)/I31</f>
        <v>0.11345562798902932</v>
      </c>
      <c r="J57" s="36">
        <f>((J40)/0.25)/J31</f>
        <v>0.14484547253039168</v>
      </c>
      <c r="K57" s="49">
        <f>+K40/K31</f>
        <v>-0.01630937505071323</v>
      </c>
      <c r="L57" s="48">
        <f>(L40/0.75)/L31</f>
        <v>0.15774430968353398</v>
      </c>
      <c r="M57" s="48">
        <f>(M40/0.5)/M31</f>
        <v>0.3538941980323558</v>
      </c>
      <c r="N57" s="34">
        <f>((N40)/0.25)/N31</f>
        <v>0.4132698673496509</v>
      </c>
      <c r="O57" s="36">
        <f>O40/O31</f>
        <v>0.6966754790258054</v>
      </c>
      <c r="P57" s="36">
        <f>P40/P31</f>
        <v>0.6666368874793407</v>
      </c>
    </row>
    <row r="58" spans="1:16" ht="11.25">
      <c r="A58" s="2" t="s">
        <v>51</v>
      </c>
      <c r="B58" s="4"/>
      <c r="C58" s="34">
        <f>(C33)/C28</f>
        <v>0.07779377656400074</v>
      </c>
      <c r="D58" s="34">
        <f>(D33/0.75)/D28</f>
        <v>0.07706910051839204</v>
      </c>
      <c r="E58" s="34">
        <f>(E33/0.5)/E28</f>
        <v>0.07894903612354785</v>
      </c>
      <c r="F58" s="35">
        <f>((F33)/0.25)/F28</f>
        <v>0.07917882351104902</v>
      </c>
      <c r="G58" s="48">
        <f>G33/G28</f>
        <v>0.11245558964768988</v>
      </c>
      <c r="H58" s="48">
        <f>(H33/0.75)/H28</f>
        <v>0.11458041695329743</v>
      </c>
      <c r="I58" s="36">
        <f>(I33/0.5)/I28</f>
        <v>0.11559188312555843</v>
      </c>
      <c r="J58" s="36">
        <f>((J33)/0.25)/J28</f>
        <v>0.11968851071646472</v>
      </c>
      <c r="K58" s="49">
        <f>K33/K28</f>
        <v>0.1239592623820362</v>
      </c>
      <c r="L58" s="48">
        <f>(L33/0.75)/L28</f>
        <v>0.13063857126475945</v>
      </c>
      <c r="M58" s="48">
        <f>(M33/0.5)/M28</f>
        <v>0.137953501857743</v>
      </c>
      <c r="N58" s="34">
        <f>((N33)/0.25)/N28</f>
        <v>0.14012821862327884</v>
      </c>
      <c r="O58" s="36">
        <f>O33/O28</f>
        <v>0.13447117864695252</v>
      </c>
      <c r="P58" s="36">
        <f>P33/P27</f>
        <v>0.07550688533295079</v>
      </c>
    </row>
    <row r="59" spans="1:16" ht="11.25">
      <c r="A59" s="2" t="s">
        <v>52</v>
      </c>
      <c r="B59" s="4"/>
      <c r="C59" s="34">
        <f>(C34)/C28</f>
        <v>0.02990321928274374</v>
      </c>
      <c r="D59" s="34">
        <f>(D34/0.75)/D28</f>
        <v>0.029877697371867882</v>
      </c>
      <c r="E59" s="34">
        <f>(E34/0.5)/E28</f>
        <v>0.03147510509305224</v>
      </c>
      <c r="F59" s="35">
        <f>((F34)/0.25)/F28</f>
        <v>0.032059507869385044</v>
      </c>
      <c r="G59" s="48">
        <f>G34/G28</f>
        <v>0.060467485663624566</v>
      </c>
      <c r="H59" s="48">
        <f>(H34/0.75)/H28</f>
        <v>0.06424166757067681</v>
      </c>
      <c r="I59" s="36">
        <f>(I34/0.5)/I28</f>
        <v>0.06549911270156468</v>
      </c>
      <c r="J59" s="36">
        <f>((J34)/0.25)/J28</f>
        <v>0.07146671565122123</v>
      </c>
      <c r="K59" s="49">
        <f>K34/K28</f>
        <v>0.07821798102181955</v>
      </c>
      <c r="L59" s="48">
        <f>(L34/0.75)/L28</f>
        <v>0.0820389247067589</v>
      </c>
      <c r="M59" s="48">
        <f>(M34/0.5)/M28</f>
        <v>0.08664363423720145</v>
      </c>
      <c r="N59" s="34">
        <f>((N34)/0.25)/N28</f>
        <v>0.08275898942204712</v>
      </c>
      <c r="O59" s="36">
        <f>O34/O28</f>
        <v>0.07539193145597967</v>
      </c>
      <c r="P59" s="36">
        <f>P34/P27</f>
        <v>0.03812814009829919</v>
      </c>
    </row>
    <row r="60" spans="1:16" ht="11.25">
      <c r="A60" s="2" t="s">
        <v>53</v>
      </c>
      <c r="B60" s="4"/>
      <c r="C60" s="34">
        <f>(C35)/C28</f>
        <v>0.04789055728125701</v>
      </c>
      <c r="D60" s="34">
        <f>(D35/0.75)/D28</f>
        <v>0.04719140314652416</v>
      </c>
      <c r="E60" s="34">
        <f>(E35/0.5)/E28</f>
        <v>0.04747393103049561</v>
      </c>
      <c r="F60" s="35">
        <f>((F35)/0.25)/F28</f>
        <v>0.04711931564166398</v>
      </c>
      <c r="G60" s="48">
        <f>G35/G28</f>
        <v>0.05198810398406531</v>
      </c>
      <c r="H60" s="48">
        <f>(H35/0.75)/H28</f>
        <v>0.05033874938262061</v>
      </c>
      <c r="I60" s="36">
        <f>(I35/0.5)/I28</f>
        <v>0.05009277042399375</v>
      </c>
      <c r="J60" s="36">
        <f>((J35)/0.25)/J28</f>
        <v>0.04822179506524349</v>
      </c>
      <c r="K60" s="49">
        <f>K35/K28</f>
        <v>0.04574128136021665</v>
      </c>
      <c r="L60" s="48">
        <f>(L35/0.75)/L28</f>
        <v>0.04859964655800054</v>
      </c>
      <c r="M60" s="48">
        <f>(M35/0.5)/M28</f>
        <v>0.05130986762054154</v>
      </c>
      <c r="N60" s="34">
        <f>((N35)/0.25)/N28</f>
        <v>0.057369229201231726</v>
      </c>
      <c r="O60" s="36">
        <f>O35/O28</f>
        <v>0.05907924719097285</v>
      </c>
      <c r="P60" s="36">
        <f>P35/P27</f>
        <v>0.03737874523465159</v>
      </c>
    </row>
    <row r="61" spans="1:16" ht="11.25">
      <c r="A61" s="2" t="s">
        <v>54</v>
      </c>
      <c r="B61" s="4"/>
      <c r="C61" s="34">
        <f>(C38)/(C37)</f>
        <v>0.6678884203697697</v>
      </c>
      <c r="D61" s="34">
        <f>(D38/0.75)/(D37/0.75)</f>
        <v>0.6413326833817264</v>
      </c>
      <c r="E61" s="34">
        <f>(E38/0.5)/(E37/0.5)</f>
        <v>0.6169872318192209</v>
      </c>
      <c r="F61" s="35">
        <f>(F38/0.25)/(F37/0.25)</f>
        <v>0.5926292847235982</v>
      </c>
      <c r="G61" s="48">
        <f>G38/G37</f>
        <v>0.7208789645854075</v>
      </c>
      <c r="H61" s="48">
        <f>(H38/0.75)/(H37/0.75)</f>
        <v>0.8308303886925795</v>
      </c>
      <c r="I61" s="36">
        <f>(I38/0.5)/(I37/0.5)</f>
        <v>0.8466807549369672</v>
      </c>
      <c r="J61" s="36">
        <f>(J38/0.25)/(J37/0.25)</f>
        <v>0.8052720464057567</v>
      </c>
      <c r="K61" s="49">
        <f>K38/K37</f>
        <v>0.8090152382630141</v>
      </c>
      <c r="L61" s="48">
        <f>(L38/0.75)/(L37/0.75)</f>
        <v>0.7828606452331865</v>
      </c>
      <c r="M61" s="48">
        <f>(M38/0.5)/(M37/0.5)</f>
        <v>0.6996488420678313</v>
      </c>
      <c r="N61" s="34">
        <f>(N38/0.25)/(N37/0.25)</f>
        <v>0.7284314575565768</v>
      </c>
      <c r="O61" s="36">
        <f>O38/O37</f>
        <v>0.6220838861108277</v>
      </c>
      <c r="P61" s="36">
        <f>P38/P37</f>
        <v>0.6352742726954084</v>
      </c>
    </row>
    <row r="62" spans="1:16" ht="11.25">
      <c r="A62" s="3" t="s">
        <v>55</v>
      </c>
      <c r="B62" s="3"/>
      <c r="C62" s="38">
        <f>(C36)/C28</f>
        <v>0.020064792328958556</v>
      </c>
      <c r="D62" s="38">
        <f>(D36/0.75)/D28</f>
        <v>0.020534726812488205</v>
      </c>
      <c r="E62" s="38">
        <f>(E36/0.5)/E28</f>
        <v>0.020619473650856476</v>
      </c>
      <c r="F62" s="39">
        <f>(F36/0.25)/F28</f>
        <v>0.020402315830078812</v>
      </c>
      <c r="G62" s="50">
        <f>G36/G28</f>
        <v>0.021671859060235693</v>
      </c>
      <c r="H62" s="50">
        <f>(H36/0.75)/H28</f>
        <v>0.020253291733709575</v>
      </c>
      <c r="I62" s="38">
        <f>(I36/0.5)/I28</f>
        <v>0.021454178840001486</v>
      </c>
      <c r="J62" s="38">
        <f>(J36/0.25)/J28</f>
        <v>0.023255417276240087</v>
      </c>
      <c r="K62" s="51">
        <f>K36/K28</f>
        <v>0.02803351154822768</v>
      </c>
      <c r="L62" s="50">
        <f>(L36/0.75)/L28</f>
        <v>0.030173697923953458</v>
      </c>
      <c r="M62" s="50">
        <f>(M36/0.5)/M28</f>
        <v>0.021980169957828175</v>
      </c>
      <c r="N62" s="38">
        <f>(N36/0.25)/N28</f>
        <v>0.019708976807366305</v>
      </c>
      <c r="O62" s="38">
        <f>O36/O28</f>
        <v>0.02461080155918515</v>
      </c>
      <c r="P62" s="38">
        <f>P36/P27</f>
        <v>0.011490364387899629</v>
      </c>
    </row>
    <row r="63" spans="1:14" ht="11.25">
      <c r="A63" s="12" t="s">
        <v>56</v>
      </c>
      <c r="E63" s="4"/>
      <c r="F63" s="25"/>
      <c r="K63" s="28"/>
      <c r="L63" s="4"/>
      <c r="M63" s="4"/>
      <c r="N63" s="4"/>
    </row>
    <row r="64" spans="1:16" ht="11.25">
      <c r="A64" s="2" t="s">
        <v>57</v>
      </c>
      <c r="C64" s="18">
        <v>640</v>
      </c>
      <c r="D64" s="18">
        <v>670</v>
      </c>
      <c r="E64" s="4">
        <v>644</v>
      </c>
      <c r="F64" s="20">
        <v>695</v>
      </c>
      <c r="G64" s="18">
        <v>694</v>
      </c>
      <c r="H64" s="18">
        <v>715</v>
      </c>
      <c r="I64" s="18">
        <v>705</v>
      </c>
      <c r="J64" s="18">
        <v>690</v>
      </c>
      <c r="K64" s="21">
        <v>567</v>
      </c>
      <c r="L64" s="19">
        <v>567</v>
      </c>
      <c r="M64" s="19">
        <v>574</v>
      </c>
      <c r="N64" s="19">
        <v>559</v>
      </c>
      <c r="O64" s="18">
        <v>552</v>
      </c>
      <c r="P64" s="18">
        <v>542</v>
      </c>
    </row>
    <row r="65" spans="1:16" ht="11.25">
      <c r="A65" s="2" t="s">
        <v>58</v>
      </c>
      <c r="C65" s="18">
        <v>18</v>
      </c>
      <c r="D65" s="18">
        <v>18</v>
      </c>
      <c r="E65" s="4">
        <v>18</v>
      </c>
      <c r="F65" s="20">
        <v>18</v>
      </c>
      <c r="G65" s="18">
        <v>18</v>
      </c>
      <c r="H65" s="18">
        <v>17</v>
      </c>
      <c r="I65" s="18">
        <v>17</v>
      </c>
      <c r="J65" s="18">
        <v>17</v>
      </c>
      <c r="K65" s="21">
        <v>10</v>
      </c>
      <c r="L65" s="19">
        <v>10</v>
      </c>
      <c r="M65" s="19">
        <v>10</v>
      </c>
      <c r="N65" s="19">
        <v>10</v>
      </c>
      <c r="O65" s="18">
        <v>10</v>
      </c>
      <c r="P65" s="18">
        <v>10</v>
      </c>
    </row>
    <row r="66" spans="1:16" ht="11.25">
      <c r="A66" s="2" t="s">
        <v>59</v>
      </c>
      <c r="C66" s="19">
        <f aca="true" t="shared" si="20" ref="C66:P66">C12/C64</f>
        <v>1271.925</v>
      </c>
      <c r="D66" s="19">
        <f t="shared" si="20"/>
        <v>1244.1029850746268</v>
      </c>
      <c r="E66" s="19">
        <f t="shared" si="20"/>
        <v>1296.0031055900622</v>
      </c>
      <c r="F66" s="20">
        <f t="shared" si="20"/>
        <v>1215.4776978417267</v>
      </c>
      <c r="G66" s="18">
        <f t="shared" si="20"/>
        <v>1210.4740634005764</v>
      </c>
      <c r="H66" s="18">
        <f t="shared" si="20"/>
        <v>1224.5832167832168</v>
      </c>
      <c r="I66" s="18">
        <f t="shared" si="20"/>
        <v>1225.1390070921987</v>
      </c>
      <c r="J66" s="18">
        <f t="shared" si="20"/>
        <v>1231.7521739130434</v>
      </c>
      <c r="K66" s="21">
        <f t="shared" si="20"/>
        <v>1070.7777777777778</v>
      </c>
      <c r="L66" s="19">
        <f t="shared" si="20"/>
        <v>1059.615520282187</v>
      </c>
      <c r="M66" s="19">
        <f t="shared" si="20"/>
        <v>1085.8989547038327</v>
      </c>
      <c r="N66" s="19">
        <f t="shared" si="20"/>
        <v>1105.964221824687</v>
      </c>
      <c r="O66" s="18">
        <f t="shared" si="20"/>
        <v>1085.9039855072465</v>
      </c>
      <c r="P66" s="18">
        <f t="shared" si="20"/>
        <v>1025.70110701107</v>
      </c>
    </row>
    <row r="67" spans="1:16" ht="11.25">
      <c r="A67" s="2" t="s">
        <v>60</v>
      </c>
      <c r="C67" s="19">
        <f aca="true" t="shared" si="21" ref="C67:P67">C16/C64</f>
        <v>1731.790625</v>
      </c>
      <c r="D67" s="19">
        <f t="shared" si="21"/>
        <v>1572.1522388059702</v>
      </c>
      <c r="E67" s="19">
        <f t="shared" si="21"/>
        <v>1620.3447204968943</v>
      </c>
      <c r="F67" s="20">
        <f t="shared" si="21"/>
        <v>1466.054676258993</v>
      </c>
      <c r="G67" s="18">
        <f t="shared" si="21"/>
        <v>1536.906340057637</v>
      </c>
      <c r="H67" s="18">
        <f t="shared" si="21"/>
        <v>1399.6377622377622</v>
      </c>
      <c r="I67" s="18">
        <f t="shared" si="21"/>
        <v>1475.2893617021277</v>
      </c>
      <c r="J67" s="18">
        <f t="shared" si="21"/>
        <v>1493.8304347826088</v>
      </c>
      <c r="K67" s="21">
        <f t="shared" si="21"/>
        <v>1324.8924162257495</v>
      </c>
      <c r="L67" s="19">
        <f t="shared" si="21"/>
        <v>1461.1834215167548</v>
      </c>
      <c r="M67" s="19">
        <f t="shared" si="21"/>
        <v>1818.2979094076654</v>
      </c>
      <c r="N67" s="19">
        <f t="shared" si="21"/>
        <v>1846.1001788908766</v>
      </c>
      <c r="O67" s="18">
        <f t="shared" si="21"/>
        <v>1878.088768115942</v>
      </c>
      <c r="P67" s="18">
        <f t="shared" si="21"/>
        <v>1760.3118081180812</v>
      </c>
    </row>
    <row r="68" spans="1:16" ht="11.25">
      <c r="A68" s="3" t="s">
        <v>61</v>
      </c>
      <c r="B68" s="3"/>
      <c r="C68" s="22">
        <f aca="true" t="shared" si="22" ref="C68:P68">(C40/C64)</f>
        <v>1.7828125</v>
      </c>
      <c r="D68" s="22">
        <f t="shared" si="22"/>
        <v>-2.0343283582089553</v>
      </c>
      <c r="E68" s="22">
        <f t="shared" si="22"/>
        <v>-13.40527950310559</v>
      </c>
      <c r="F68" s="23">
        <f t="shared" si="22"/>
        <v>3.9323741007194246</v>
      </c>
      <c r="G68" s="22">
        <f t="shared" si="22"/>
        <v>8.64985590778098</v>
      </c>
      <c r="H68" s="22">
        <f t="shared" si="22"/>
        <v>5.395804195804196</v>
      </c>
      <c r="I68" s="22">
        <f t="shared" si="22"/>
        <v>5.8382978723404255</v>
      </c>
      <c r="J68" s="22">
        <f t="shared" si="22"/>
        <v>3.753623188405797</v>
      </c>
      <c r="K68" s="33">
        <f t="shared" si="22"/>
        <v>-1.7724867724867726</v>
      </c>
      <c r="L68" s="22">
        <f t="shared" si="22"/>
        <v>4.696649029982363</v>
      </c>
      <c r="M68" s="22">
        <f t="shared" si="22"/>
        <v>6.564459930313589</v>
      </c>
      <c r="N68" s="22">
        <f t="shared" si="22"/>
        <v>3.8246869409660107</v>
      </c>
      <c r="O68" s="22">
        <f t="shared" si="22"/>
        <v>26.972826086956523</v>
      </c>
      <c r="P68" s="22">
        <f t="shared" si="22"/>
        <v>27.535055350553506</v>
      </c>
    </row>
    <row r="69" spans="1:14" ht="11.25">
      <c r="A69" s="12" t="s">
        <v>62</v>
      </c>
      <c r="E69" s="4"/>
      <c r="F69" s="25"/>
      <c r="K69" s="28"/>
      <c r="L69" s="4"/>
      <c r="M69" s="4"/>
      <c r="N69" s="4"/>
    </row>
    <row r="70" spans="1:16" ht="11.25">
      <c r="A70" s="2" t="s">
        <v>63</v>
      </c>
      <c r="C70" s="34">
        <f aca="true" t="shared" si="23" ref="C70:K70">(C10/G10)-1</f>
        <v>-0.02550688642318355</v>
      </c>
      <c r="D70" s="34">
        <f t="shared" si="23"/>
        <v>-0.016686995759129353</v>
      </c>
      <c r="E70" s="34">
        <f t="shared" si="23"/>
        <v>-0.03661210960821859</v>
      </c>
      <c r="F70" s="35">
        <f t="shared" si="23"/>
        <v>-0.007092210289978307</v>
      </c>
      <c r="G70" s="36">
        <f t="shared" si="23"/>
        <v>0.4085619628667363</v>
      </c>
      <c r="H70" s="36">
        <f t="shared" si="23"/>
        <v>0.34709253537455975</v>
      </c>
      <c r="I70" s="36">
        <f t="shared" si="23"/>
        <v>0.1077778213634426</v>
      </c>
      <c r="J70" s="36">
        <f t="shared" si="23"/>
        <v>0.10718633360994634</v>
      </c>
      <c r="K70" s="37">
        <f t="shared" si="23"/>
        <v>-0.18946706079934095</v>
      </c>
      <c r="L70" s="34">
        <f>(L10/378421)-1</f>
        <v>1.3271620761004277</v>
      </c>
      <c r="M70" s="34">
        <f>(M10/1050653)-1</f>
        <v>0.04333305096925444</v>
      </c>
      <c r="N70" s="34">
        <f>(N10/1038916)-1</f>
        <v>0.05320160628963255</v>
      </c>
      <c r="O70" s="36">
        <f>(O10/P10)-1</f>
        <v>0.07725565504723875</v>
      </c>
      <c r="P70" s="36">
        <f>(P10/842852)-1</f>
        <v>0.21649233791934996</v>
      </c>
    </row>
    <row r="71" spans="1:16" ht="11.25">
      <c r="A71" s="2" t="s">
        <v>64</v>
      </c>
      <c r="C71" s="34">
        <f aca="true" t="shared" si="24" ref="C71:I72">(C12/G12)-1</f>
        <v>-0.030993882645354187</v>
      </c>
      <c r="D71" s="34">
        <f t="shared" si="24"/>
        <v>-0.0480003471996181</v>
      </c>
      <c r="E71" s="34">
        <f t="shared" si="24"/>
        <v>-0.03368788373124254</v>
      </c>
      <c r="F71" s="35">
        <f t="shared" si="24"/>
        <v>-0.0060618254424885665</v>
      </c>
      <c r="G71" s="36">
        <f t="shared" si="24"/>
        <v>0.3836700810862894</v>
      </c>
      <c r="H71" s="36">
        <f t="shared" si="24"/>
        <v>0.45734701282618895</v>
      </c>
      <c r="I71" s="36">
        <f t="shared" si="24"/>
        <v>0.38571263552733326</v>
      </c>
      <c r="J71" s="36">
        <f>J12/N12-1</f>
        <v>0.3747367501625598</v>
      </c>
      <c r="K71" s="37">
        <f>(K12/O12)-1</f>
        <v>0.012865791708304153</v>
      </c>
      <c r="L71" s="34">
        <f>L12/600740-1</f>
        <v>0.00010320604587676918</v>
      </c>
      <c r="M71" s="34">
        <f>M12/590224-1</f>
        <v>0.05604990647618524</v>
      </c>
      <c r="N71" s="34">
        <f>N12/563734-1</f>
        <v>0.09667680147019686</v>
      </c>
      <c r="O71" s="36">
        <f>(O12/P12)-1</f>
        <v>0.07822747468206437</v>
      </c>
      <c r="P71" s="36">
        <f>P12/472003-1</f>
        <v>0.17781031052768737</v>
      </c>
    </row>
    <row r="72" spans="2:16" ht="11.25">
      <c r="B72" s="2" t="s">
        <v>15</v>
      </c>
      <c r="C72" s="34">
        <f t="shared" si="24"/>
        <v>-0.03328372248086009</v>
      </c>
      <c r="D72" s="34">
        <f t="shared" si="24"/>
        <v>-0.047950282749160245</v>
      </c>
      <c r="E72" s="34">
        <f t="shared" si="24"/>
        <v>-0.034198662063312346</v>
      </c>
      <c r="F72" s="35">
        <f t="shared" si="24"/>
        <v>-0.006807827707599912</v>
      </c>
      <c r="G72" s="36">
        <f t="shared" si="24"/>
        <v>0.38334230997923013</v>
      </c>
      <c r="H72" s="36">
        <f t="shared" si="24"/>
        <v>0.45723715966325007</v>
      </c>
      <c r="I72" s="36">
        <f t="shared" si="24"/>
        <v>0.3857046137852034</v>
      </c>
      <c r="J72" s="36">
        <f>(J13/N13)-1</f>
        <v>0.3747286626099502</v>
      </c>
      <c r="K72" s="37">
        <f>(K13/O13)-1</f>
        <v>0.012865791708304153</v>
      </c>
      <c r="L72" s="34">
        <f>(L13/600740)-1</f>
        <v>0.00010320604587676918</v>
      </c>
      <c r="M72" s="34">
        <f>(M13/590224)-1</f>
        <v>0.05604990647618524</v>
      </c>
      <c r="N72" s="34">
        <f>(N13/563734)-1</f>
        <v>0.09667680147019686</v>
      </c>
      <c r="O72" s="36">
        <f>(O13/P13)-1</f>
        <v>0.07823329322015304</v>
      </c>
      <c r="P72" s="36">
        <f>(P13/471999)-1</f>
        <v>0.17781393604647477</v>
      </c>
    </row>
    <row r="73" spans="2:16" ht="11.25">
      <c r="B73" s="2" t="s">
        <v>16</v>
      </c>
      <c r="C73" s="34">
        <f>(C14/G14)-1</f>
        <v>9.633165829145728</v>
      </c>
      <c r="D73" s="34">
        <f>(D14/H14)-1</f>
        <v>-0.7121212121212122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0</v>
      </c>
      <c r="K73" s="37">
        <v>0</v>
      </c>
      <c r="L73" s="34">
        <v>0</v>
      </c>
      <c r="M73" s="34">
        <v>0</v>
      </c>
      <c r="N73" s="34">
        <v>0</v>
      </c>
      <c r="O73" s="36">
        <f>(O14/P14)-1</f>
        <v>-1</v>
      </c>
      <c r="P73" s="36">
        <f>(P14/4)-1</f>
        <v>-0.25</v>
      </c>
    </row>
    <row r="74" spans="1:16" ht="11.25">
      <c r="A74" s="2" t="s">
        <v>65</v>
      </c>
      <c r="C74" s="34">
        <f aca="true" t="shared" si="25" ref="C74:K75">(C16/G16)-1</f>
        <v>0.03912665605988308</v>
      </c>
      <c r="D74" s="34">
        <f t="shared" si="25"/>
        <v>0.05256205151982374</v>
      </c>
      <c r="E74" s="34">
        <f t="shared" si="25"/>
        <v>0.003291096157118867</v>
      </c>
      <c r="F74" s="35">
        <f t="shared" si="25"/>
        <v>-0.01148200860932358</v>
      </c>
      <c r="G74" s="36">
        <f t="shared" si="25"/>
        <v>0.41985239891695314</v>
      </c>
      <c r="H74" s="36">
        <f t="shared" si="25"/>
        <v>0.20790811245988183</v>
      </c>
      <c r="I74" s="36">
        <f t="shared" si="25"/>
        <v>-0.0034722521636902925</v>
      </c>
      <c r="J74" s="36">
        <f t="shared" si="25"/>
        <v>-0.0011889880519782015</v>
      </c>
      <c r="K74" s="37">
        <f t="shared" si="25"/>
        <v>-0.27538306461336637</v>
      </c>
      <c r="L74" s="52">
        <f>L16/976691-1</f>
        <v>-0.15173683386045334</v>
      </c>
      <c r="M74" s="34">
        <f>M16/989400-1</f>
        <v>0.05488477865372943</v>
      </c>
      <c r="N74" s="34">
        <f>N16/975006-1</f>
        <v>0.0584242558507333</v>
      </c>
      <c r="O74" s="36">
        <f>(O16/P16)-1</f>
        <v>0.08659150246989533</v>
      </c>
      <c r="P74" s="36">
        <f>P16/783569-1</f>
        <v>0.21761963528419326</v>
      </c>
    </row>
    <row r="75" spans="2:16" ht="11.25">
      <c r="B75" s="2" t="s">
        <v>15</v>
      </c>
      <c r="C75" s="34">
        <f t="shared" si="25"/>
        <v>0.04728458443180239</v>
      </c>
      <c r="D75" s="34">
        <f t="shared" si="25"/>
        <v>0.06011126670611877</v>
      </c>
      <c r="E75" s="34">
        <f t="shared" si="25"/>
        <v>-0.057630277682118036</v>
      </c>
      <c r="F75" s="35">
        <f t="shared" si="25"/>
        <v>-0.00885969149688115</v>
      </c>
      <c r="G75" s="36">
        <f t="shared" si="25"/>
        <v>0.1875494331663592</v>
      </c>
      <c r="H75" s="36">
        <f t="shared" si="25"/>
        <v>0.1500431255222232</v>
      </c>
      <c r="I75" s="36">
        <f t="shared" si="25"/>
        <v>0.21760798937310954</v>
      </c>
      <c r="J75" s="36">
        <f t="shared" si="25"/>
        <v>0.24790450832529842</v>
      </c>
      <c r="K75" s="37">
        <f t="shared" si="25"/>
        <v>-0.022417956272340223</v>
      </c>
      <c r="L75" s="34">
        <f>(L17/448599)-1</f>
        <v>0.3232664361712798</v>
      </c>
      <c r="M75" s="34">
        <f>(M17/570210)-1</f>
        <v>0.09578927061959619</v>
      </c>
      <c r="N75" s="34">
        <f>(N17/522399)-1</f>
        <v>0.16540613592292486</v>
      </c>
      <c r="O75" s="36">
        <f>(O17/P17)-1</f>
        <v>0.16199936733620457</v>
      </c>
      <c r="P75" s="36">
        <f>(P17/501215)-1</f>
        <v>0.06590784393922777</v>
      </c>
    </row>
    <row r="76" spans="2:16" ht="11.25">
      <c r="B76" s="2" t="s">
        <v>16</v>
      </c>
      <c r="C76" s="34">
        <f aca="true" t="shared" si="26" ref="C76:K76">(C21/G21)-1</f>
        <v>0.022129841896661784</v>
      </c>
      <c r="D76" s="34">
        <f t="shared" si="26"/>
        <v>0.036358262827103305</v>
      </c>
      <c r="E76" s="34">
        <f t="shared" si="26"/>
        <v>0.16924889269230636</v>
      </c>
      <c r="F76" s="35">
        <f t="shared" si="26"/>
        <v>-0.018833253385483917</v>
      </c>
      <c r="G76" s="36">
        <f t="shared" si="26"/>
        <v>1.396614796236507</v>
      </c>
      <c r="H76" s="36">
        <f t="shared" si="26"/>
        <v>0.3541543374135179</v>
      </c>
      <c r="I76" s="36">
        <f t="shared" si="26"/>
        <v>-0.3332561420764767</v>
      </c>
      <c r="J76" s="36">
        <f t="shared" si="26"/>
        <v>-0.35956120927396773</v>
      </c>
      <c r="K76" s="37">
        <f t="shared" si="26"/>
        <v>-0.652966521442242</v>
      </c>
      <c r="L76" s="34">
        <f>(L21/520093)-1</f>
        <v>-0.5483980749596706</v>
      </c>
      <c r="M76" s="34">
        <f>(M21/413189)-1</f>
        <v>0.01375641655513582</v>
      </c>
      <c r="N76" s="34">
        <f>(N21/452607)-1</f>
        <v>-0.06505423027041124</v>
      </c>
      <c r="O76" s="36">
        <f>(O21/P21)-1</f>
        <v>-0.00936547256097564</v>
      </c>
      <c r="P76" s="36">
        <f>(P21/282354)-1</f>
        <v>0.4869277573542432</v>
      </c>
    </row>
    <row r="77" spans="1:16" ht="11.25">
      <c r="A77" s="2" t="s">
        <v>66</v>
      </c>
      <c r="C77" s="34">
        <f aca="true" t="shared" si="27" ref="C77:K77">(C25/G25)-1</f>
        <v>-0.6090468754979128</v>
      </c>
      <c r="D77" s="34">
        <f t="shared" si="27"/>
        <v>-0.635791862538499</v>
      </c>
      <c r="E77" s="34">
        <f t="shared" si="27"/>
        <v>-0.6905610763373556</v>
      </c>
      <c r="F77" s="35">
        <f t="shared" si="27"/>
        <v>-0.060174759030718006</v>
      </c>
      <c r="G77" s="36">
        <f t="shared" si="27"/>
        <v>0.2283153280100203</v>
      </c>
      <c r="H77" s="36">
        <f t="shared" si="27"/>
        <v>4.281904191104071</v>
      </c>
      <c r="I77" s="36">
        <f t="shared" si="27"/>
        <v>4.865077112309585</v>
      </c>
      <c r="J77" s="36">
        <f t="shared" si="27"/>
        <v>4.832027891871239</v>
      </c>
      <c r="K77" s="37">
        <f t="shared" si="27"/>
        <v>3.8547268408551068</v>
      </c>
      <c r="L77" s="34">
        <f>(L25/21659)-1</f>
        <v>0.07848931160256711</v>
      </c>
      <c r="M77" s="34">
        <f>(M25/21451)-1</f>
        <v>-0.014591394340590202</v>
      </c>
      <c r="N77" s="34">
        <f>(N25/20449)-1</f>
        <v>0.023913149787275767</v>
      </c>
      <c r="O77" s="36">
        <f>(O25/P25)-1</f>
        <v>-0.029640897985525272</v>
      </c>
      <c r="P77" s="36">
        <f>(P25/23081)-1</f>
        <v>-0.0601360426324683</v>
      </c>
    </row>
    <row r="78" spans="1:16" ht="11.25">
      <c r="A78" s="3" t="s">
        <v>67</v>
      </c>
      <c r="B78" s="3"/>
      <c r="C78" s="38">
        <f aca="true" t="shared" si="28" ref="C78:K78">(C40/G40)-1</f>
        <v>-0.809928369148759</v>
      </c>
      <c r="D78" s="38">
        <f t="shared" si="28"/>
        <v>-1.3532918610679108</v>
      </c>
      <c r="E78" s="38">
        <f t="shared" si="28"/>
        <v>-3.097424684159378</v>
      </c>
      <c r="F78" s="39">
        <f t="shared" si="28"/>
        <v>0.055212355212355124</v>
      </c>
      <c r="G78" s="38">
        <f t="shared" si="28"/>
        <v>-6.973134328358209</v>
      </c>
      <c r="H78" s="38">
        <f t="shared" si="28"/>
        <v>0.448742020277882</v>
      </c>
      <c r="I78" s="38">
        <f t="shared" si="28"/>
        <v>0.09235668789808926</v>
      </c>
      <c r="J78" s="38">
        <f t="shared" si="28"/>
        <v>0.21141253507951352</v>
      </c>
      <c r="K78" s="40">
        <f t="shared" si="28"/>
        <v>-1.0674994962724158</v>
      </c>
      <c r="L78" s="38">
        <f>(L40/11322)-1</f>
        <v>-0.7647942059706766</v>
      </c>
      <c r="M78" s="38">
        <f>(M40/7329)-1</f>
        <v>-0.48587801882930826</v>
      </c>
      <c r="N78" s="38">
        <f>(N40/3036)-1</f>
        <v>-0.29578392621870886</v>
      </c>
      <c r="O78" s="38">
        <f>(O40/P40)-1</f>
        <v>-0.002345215759849917</v>
      </c>
      <c r="P78" s="38">
        <f>(P40/10195)-1</f>
        <v>0.4638548307994115</v>
      </c>
    </row>
    <row r="80" ht="11.25">
      <c r="A80" s="2" t="s">
        <v>68</v>
      </c>
    </row>
    <row r="81" ht="11.25">
      <c r="A81" s="2" t="s">
        <v>69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2017-06-16T16:07:33Z</dcterms:created>
  <dcterms:modified xsi:type="dcterms:W3CDTF">2017-06-16T16:07:36Z</dcterms:modified>
  <cp:category/>
  <cp:version/>
  <cp:contentType/>
  <cp:contentStatus/>
</cp:coreProperties>
</file>