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antander" sheetId="1" r:id="rId1"/>
  </sheets>
  <definedNames/>
  <calcPr fullCalcOnLoad="1"/>
</workbook>
</file>

<file path=xl/sharedStrings.xml><?xml version="1.0" encoding="utf-8"?>
<sst xmlns="http://schemas.openxmlformats.org/spreadsheetml/2006/main" count="89" uniqueCount="69">
  <si>
    <t>CUADRO No. 18-20</t>
  </si>
  <si>
    <t>BANCO SANTANDER (PANAMA), S.A.</t>
  </si>
  <si>
    <t>ESTADISTICA FINANCIERA. TRIMESTRES  2000, 2001 Y 2002</t>
  </si>
  <si>
    <t>(En miles de balboas)</t>
  </si>
  <si>
    <t xml:space="preserve">Año </t>
  </si>
  <si>
    <t xml:space="preserve">Diciembre </t>
  </si>
  <si>
    <t>Septiembre</t>
  </si>
  <si>
    <t>Junio</t>
  </si>
  <si>
    <t>Marzo</t>
  </si>
  <si>
    <t>Diciembre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</si>
  <si>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</si>
  <si>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</si>
  <si>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</si>
  <si>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</si>
  <si>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</si>
  <si>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</si>
  <si>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</si>
  <si>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</si>
  <si>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</si>
  <si>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</si>
  <si>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</si>
  <si>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</si>
  <si>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</si>
  <si>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</si>
  <si>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</si>
  <si>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</si>
  <si>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</si>
  <si>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</si>
  <si>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</si>
  <si>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</si>
  <si>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</si>
  <si>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</si>
  <si>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</si>
  <si>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</si>
  <si>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</si>
  <si>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</si>
  <si>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</si>
  <si>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</si>
  <si>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</si>
  <si>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</si>
  <si>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</si>
  <si>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</si>
  <si>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Activos Generadores de Ingreso</t>
  </si>
  <si>
    <t>Patrimonio /Préstamos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</si>
  <si>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</si>
  <si>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</si>
  <si>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</si>
  <si>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</si>
  <si>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</si>
  <si>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</si>
  <si>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</si>
  <si>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</si>
  <si>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</si>
  <si>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</si>
  <si>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</si>
  <si>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</si>
  <si>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</si>
  <si>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</si>
  <si>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</si>
  <si>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</si>
  <si>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 (En miles de balboas)</t>
  </si>
  <si>
    <t>Depósitos Totales / Empleados  (En miles de balboas)</t>
  </si>
  <si>
    <t>Utilidad Neta / Empleados  (En miles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</si>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</sst>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48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B/.&quot;\ #,##0;&quot;B/.&quot;\ \-#,##0"/>
    <numFmt numFmtId="181" formatCode="&quot;B/.&quot;\ #,##0;[Red]&quot;B/.&quot;\ \-#,##0"/>
    <numFmt numFmtId="182" formatCode="&quot;B/.&quot;\ #,##0.00;&quot;B/.&quot;\ \-#,##0.00"/>
    <numFmt numFmtId="183" formatCode="&quot;B/.&quot;\ #,##0.00;[Red]&quot;B/.&quot;\ \-#,##0.00"/>
    <numFmt numFmtId="184" formatCode="_ &quot;B/.&quot;\ * #,##0_ ;_ &quot;B/.&quot;\ * \-#,##0_ ;_ &quot;B/.&quot;\ * &quot;-&quot;_ ;_ @_ "/>
    <numFmt numFmtId="185" formatCode="_ * #,##0_ ;_ * \-#,##0_ ;_ * &quot;-&quot;_ ;_ @_ "/>
    <numFmt numFmtId="186" formatCode="_ &quot;B/.&quot;\ * #,##0.00_ ;_ &quot;B/.&quot;\ * \-#,##0.00_ ;_ &quot;B/.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_(* #,##0.0_);_(* \(#,##0.0\);_(* &quot;-&quot;??_);_(@_)"/>
    <numFmt numFmtId="195" formatCode="_(* #,##0_);_(* \(#,##0\);_(* &quot;-&quot;??_);_(@_)"/>
    <numFmt numFmtId="196" formatCode="_(* #,##0.000_);_(* \(#,##0.000\);_(* &quot;-&quot;??_);_(@_)"/>
    <numFmt numFmtId="197" formatCode="0.0%"/>
    <numFmt numFmtId="198" formatCode="_(* #,##0.0000_);_(* \(#,##0.0000\);_(* &quot;-&quot;??_);_(@_)"/>
    <numFmt numFmtId="199" formatCode="0.00000"/>
    <numFmt numFmtId="200" formatCode="0.0000"/>
    <numFmt numFmtId="201" formatCode="0.000"/>
    <numFmt numFmtId="202" formatCode="0.0"/>
    <numFmt numFmtId="203" formatCode="#,##0.0"/>
  </numFmts>
  <fonts count="38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195" fontId="2" fillId="0" borderId="0" xfId="46" applyNumberFormat="1" applyFont="1" applyAlignment="1">
      <alignment/>
    </xf>
    <xf numFmtId="195" fontId="2" fillId="0" borderId="16" xfId="46" applyNumberFormat="1" applyFont="1" applyBorder="1" applyAlignment="1">
      <alignment/>
    </xf>
    <xf numFmtId="195" fontId="2" fillId="0" borderId="0" xfId="46" applyNumberFormat="1" applyFont="1" applyBorder="1" applyAlignment="1">
      <alignment/>
    </xf>
    <xf numFmtId="195" fontId="3" fillId="0" borderId="0" xfId="46" applyNumberFormat="1" applyFont="1" applyAlignment="1">
      <alignment/>
    </xf>
    <xf numFmtId="195" fontId="3" fillId="0" borderId="0" xfId="46" applyNumberFormat="1" applyFont="1" applyBorder="1" applyAlignment="1">
      <alignment/>
    </xf>
    <xf numFmtId="195" fontId="3" fillId="0" borderId="15" xfId="46" applyNumberFormat="1" applyFont="1" applyBorder="1" applyAlignment="1">
      <alignment/>
    </xf>
    <xf numFmtId="195" fontId="3" fillId="0" borderId="16" xfId="46" applyNumberFormat="1" applyFont="1" applyBorder="1" applyAlignment="1">
      <alignment/>
    </xf>
    <xf numFmtId="195" fontId="3" fillId="0" borderId="10" xfId="46" applyNumberFormat="1" applyFont="1" applyBorder="1" applyAlignment="1">
      <alignment/>
    </xf>
    <xf numFmtId="195" fontId="3" fillId="0" borderId="13" xfId="46" applyNumberFormat="1" applyFont="1" applyBorder="1" applyAlignment="1">
      <alignment/>
    </xf>
    <xf numFmtId="195" fontId="3" fillId="0" borderId="14" xfId="46" applyNumberFormat="1" applyFont="1" applyBorder="1" applyAlignment="1">
      <alignment/>
    </xf>
    <xf numFmtId="0" fontId="3" fillId="0" borderId="15" xfId="0" applyFont="1" applyBorder="1" applyAlignment="1">
      <alignment/>
    </xf>
    <xf numFmtId="195" fontId="3" fillId="0" borderId="15" xfId="0" applyNumberFormat="1" applyFont="1" applyBorder="1" applyAlignment="1">
      <alignment/>
    </xf>
    <xf numFmtId="195" fontId="3" fillId="0" borderId="0" xfId="0" applyNumberFormat="1" applyFont="1" applyAlignment="1">
      <alignment/>
    </xf>
    <xf numFmtId="195" fontId="3" fillId="0" borderId="13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46" applyNumberFormat="1" applyFont="1" applyBorder="1" applyAlignment="1">
      <alignment/>
    </xf>
    <xf numFmtId="10" fontId="3" fillId="0" borderId="0" xfId="52" applyNumberFormat="1" applyFont="1" applyBorder="1" applyAlignment="1">
      <alignment/>
    </xf>
    <xf numFmtId="10" fontId="3" fillId="0" borderId="15" xfId="52" applyNumberFormat="1" applyFont="1" applyBorder="1" applyAlignment="1">
      <alignment/>
    </xf>
    <xf numFmtId="10" fontId="3" fillId="0" borderId="0" xfId="52" applyNumberFormat="1" applyFont="1" applyAlignment="1">
      <alignment/>
    </xf>
    <xf numFmtId="10" fontId="3" fillId="0" borderId="16" xfId="52" applyNumberFormat="1" applyFont="1" applyBorder="1" applyAlignment="1">
      <alignment/>
    </xf>
    <xf numFmtId="10" fontId="3" fillId="0" borderId="10" xfId="52" applyNumberFormat="1" applyFont="1" applyBorder="1" applyAlignment="1">
      <alignment/>
    </xf>
    <xf numFmtId="10" fontId="3" fillId="0" borderId="13" xfId="52" applyNumberFormat="1" applyFont="1" applyBorder="1" applyAlignment="1">
      <alignment/>
    </xf>
    <xf numFmtId="10" fontId="3" fillId="0" borderId="14" xfId="52" applyNumberFormat="1" applyFont="1" applyBorder="1" applyAlignment="1">
      <alignment/>
    </xf>
    <xf numFmtId="0" fontId="3" fillId="0" borderId="16" xfId="0" applyFont="1" applyBorder="1" applyAlignment="1">
      <alignment/>
    </xf>
    <xf numFmtId="197" fontId="3" fillId="0" borderId="0" xfId="52" applyNumberFormat="1" applyFont="1" applyAlignment="1">
      <alignment/>
    </xf>
    <xf numFmtId="197" fontId="3" fillId="0" borderId="16" xfId="52" applyNumberFormat="1" applyFont="1" applyBorder="1" applyAlignment="1">
      <alignment/>
    </xf>
    <xf numFmtId="197" fontId="3" fillId="0" borderId="0" xfId="52" applyNumberFormat="1" applyFont="1" applyBorder="1" applyAlignment="1">
      <alignment/>
    </xf>
    <xf numFmtId="197" fontId="3" fillId="0" borderId="15" xfId="52" applyNumberFormat="1" applyFont="1" applyBorder="1" applyAlignment="1">
      <alignment/>
    </xf>
    <xf numFmtId="197" fontId="3" fillId="0" borderId="10" xfId="52" applyNumberFormat="1" applyFont="1" applyBorder="1" applyAlignment="1">
      <alignment/>
    </xf>
    <xf numFmtId="197" fontId="3" fillId="0" borderId="13" xfId="52" applyNumberFormat="1" applyFont="1" applyBorder="1" applyAlignment="1">
      <alignment/>
    </xf>
    <xf numFmtId="197" fontId="3" fillId="0" borderId="14" xfId="52" applyNumberFormat="1" applyFont="1" applyBorder="1" applyAlignment="1">
      <alignment/>
    </xf>
    <xf numFmtId="10" fontId="3" fillId="0" borderId="0" xfId="52" applyNumberFormat="1" applyFont="1" applyFill="1" applyBorder="1" applyAlignment="1">
      <alignment/>
    </xf>
    <xf numFmtId="10" fontId="3" fillId="0" borderId="16" xfId="52" applyNumberFormat="1" applyFont="1" applyFill="1" applyBorder="1" applyAlignment="1">
      <alignment/>
    </xf>
    <xf numFmtId="10" fontId="3" fillId="0" borderId="10" xfId="52" applyNumberFormat="1" applyFont="1" applyFill="1" applyBorder="1" applyAlignment="1">
      <alignment/>
    </xf>
    <xf numFmtId="10" fontId="3" fillId="0" borderId="14" xfId="52" applyNumberFormat="1" applyFont="1" applyFill="1" applyBorder="1" applyAlignment="1">
      <alignment/>
    </xf>
    <xf numFmtId="3" fontId="3" fillId="0" borderId="14" xfId="46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381000</xdr:colOff>
      <xdr:row>4</xdr:row>
      <xdr:rowOff>123825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9" sqref="D19"/>
    </sheetView>
  </sheetViews>
  <sheetFormatPr defaultColWidth="11.421875" defaultRowHeight="12.75"/>
  <cols>
    <col min="1" max="1" width="1.421875" style="2" customWidth="1"/>
    <col min="2" max="2" width="26.140625" style="2" customWidth="1"/>
    <col min="3" max="3" width="8.57421875" style="2" customWidth="1"/>
    <col min="4" max="4" width="8.140625" style="2" bestFit="1" customWidth="1"/>
    <col min="5" max="5" width="7.7109375" style="2" customWidth="1"/>
    <col min="6" max="6" width="7.57421875" style="2" customWidth="1"/>
    <col min="7" max="7" width="7.7109375" style="2" customWidth="1"/>
    <col min="8" max="8" width="7.7109375" style="2" bestFit="1" customWidth="1"/>
    <col min="9" max="9" width="7.57421875" style="2" customWidth="1"/>
    <col min="10" max="10" width="7.421875" style="2" customWidth="1"/>
    <col min="11" max="11" width="8.421875" style="2" customWidth="1"/>
    <col min="12" max="12" width="7.7109375" style="2" bestFit="1" customWidth="1"/>
    <col min="13" max="13" width="7.421875" style="2" customWidth="1"/>
    <col min="14" max="14" width="7.7109375" style="2" customWidth="1"/>
    <col min="15" max="15" width="6.28125" style="2" hidden="1" customWidth="1"/>
    <col min="16" max="16" width="6.421875" style="2" hidden="1" customWidth="1"/>
    <col min="17" max="58" width="11.421875" style="2" customWidth="1"/>
    <col min="59" max="16384" width="11.421875" style="1" customWidth="1"/>
  </cols>
  <sheetData>
    <row r="1" spans="2:16" ht="11.25">
      <c r="B1" s="52"/>
      <c r="C1" s="52"/>
      <c r="D1" s="52"/>
      <c r="E1" s="52"/>
      <c r="F1" s="52"/>
      <c r="H1" s="52" t="s">
        <v>0</v>
      </c>
      <c r="I1" s="52"/>
      <c r="J1" s="52"/>
      <c r="K1" s="52"/>
      <c r="L1" s="52"/>
      <c r="M1" s="52"/>
      <c r="N1" s="52"/>
      <c r="O1" s="52"/>
      <c r="P1" s="52"/>
    </row>
    <row r="2" spans="2:16" ht="11.25">
      <c r="B2" s="52"/>
      <c r="C2" s="52"/>
      <c r="D2" s="52"/>
      <c r="E2" s="52"/>
      <c r="F2" s="52"/>
      <c r="H2" s="52" t="s">
        <v>1</v>
      </c>
      <c r="I2" s="52"/>
      <c r="J2" s="52"/>
      <c r="K2" s="52"/>
      <c r="L2" s="52"/>
      <c r="M2" s="52"/>
      <c r="N2" s="52"/>
      <c r="O2" s="52"/>
      <c r="P2" s="52"/>
    </row>
    <row r="3" spans="2:16" ht="11.25">
      <c r="B3" s="52"/>
      <c r="C3" s="52"/>
      <c r="D3" s="52"/>
      <c r="E3" s="52"/>
      <c r="F3" s="52"/>
      <c r="H3" s="52" t="s">
        <v>2</v>
      </c>
      <c r="I3" s="52"/>
      <c r="J3" s="52"/>
      <c r="K3" s="52"/>
      <c r="L3" s="52"/>
      <c r="M3" s="52"/>
      <c r="N3" s="52"/>
      <c r="O3" s="52"/>
      <c r="P3" s="52"/>
    </row>
    <row r="4" spans="1:16" ht="11.25">
      <c r="A4" s="1"/>
      <c r="B4" s="51"/>
      <c r="C4" s="51"/>
      <c r="D4" s="51"/>
      <c r="E4" s="51"/>
      <c r="F4" s="51"/>
      <c r="G4" s="1"/>
      <c r="H4" s="51" t="s">
        <v>3</v>
      </c>
      <c r="I4" s="51"/>
      <c r="J4" s="51"/>
      <c r="K4" s="51"/>
      <c r="L4" s="51"/>
      <c r="M4" s="51"/>
      <c r="N4" s="51"/>
      <c r="O4" s="51"/>
      <c r="P4" s="51"/>
    </row>
    <row r="5" spans="1:16" ht="11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1:16" ht="12" customHeight="1">
      <c r="A6" s="5"/>
      <c r="B6" s="5"/>
      <c r="C6" s="54">
        <v>2002</v>
      </c>
      <c r="D6" s="54"/>
      <c r="E6" s="54"/>
      <c r="F6" s="55"/>
      <c r="G6" s="54">
        <v>2001</v>
      </c>
      <c r="H6" s="54"/>
      <c r="I6" s="54"/>
      <c r="J6" s="54"/>
      <c r="K6" s="53">
        <v>2000</v>
      </c>
      <c r="L6" s="54"/>
      <c r="M6" s="54"/>
      <c r="N6" s="54"/>
      <c r="O6" s="54" t="s">
        <v>4</v>
      </c>
      <c r="P6" s="54"/>
    </row>
    <row r="7" spans="1:16" ht="12" customHeight="1">
      <c r="A7" s="6"/>
      <c r="B7" s="6"/>
      <c r="C7" s="7" t="s">
        <v>5</v>
      </c>
      <c r="D7" s="6" t="s">
        <v>6</v>
      </c>
      <c r="E7" s="8" t="s">
        <v>7</v>
      </c>
      <c r="F7" s="9" t="s">
        <v>8</v>
      </c>
      <c r="G7" s="7" t="s">
        <v>9</v>
      </c>
      <c r="H7" s="6" t="s">
        <v>6</v>
      </c>
      <c r="I7" s="6" t="s">
        <v>7</v>
      </c>
      <c r="J7" s="6" t="s">
        <v>8</v>
      </c>
      <c r="K7" s="10" t="s">
        <v>9</v>
      </c>
      <c r="L7" s="6" t="s">
        <v>6</v>
      </c>
      <c r="M7" s="6" t="s">
        <v>7</v>
      </c>
      <c r="N7" s="7" t="s">
        <v>8</v>
      </c>
      <c r="O7" s="11" t="s">
        <v>10</v>
      </c>
      <c r="P7" s="11" t="s">
        <v>11</v>
      </c>
    </row>
    <row r="8" spans="1:16" ht="12" customHeight="1">
      <c r="A8" s="12" t="s">
        <v>12</v>
      </c>
      <c r="B8" s="12"/>
      <c r="C8" s="12"/>
      <c r="D8" s="12"/>
      <c r="E8" s="13"/>
      <c r="F8" s="14"/>
      <c r="G8" s="12"/>
      <c r="H8" s="12"/>
      <c r="I8" s="12"/>
      <c r="J8" s="15"/>
      <c r="K8" s="16"/>
      <c r="L8" s="17"/>
      <c r="M8" s="17"/>
      <c r="N8" s="17"/>
      <c r="O8" s="15"/>
      <c r="P8" s="15"/>
    </row>
    <row r="9" spans="1:16" ht="12" customHeight="1">
      <c r="A9" s="2" t="s">
        <v>13</v>
      </c>
      <c r="C9" s="18">
        <v>141940</v>
      </c>
      <c r="D9" s="18">
        <v>355308</v>
      </c>
      <c r="E9" s="19">
        <v>244899</v>
      </c>
      <c r="F9" s="20">
        <v>159691</v>
      </c>
      <c r="G9" s="18">
        <v>133284</v>
      </c>
      <c r="H9" s="18">
        <v>290621</v>
      </c>
      <c r="I9" s="18">
        <v>296622</v>
      </c>
      <c r="J9" s="18">
        <v>356860</v>
      </c>
      <c r="K9" s="21">
        <v>446262</v>
      </c>
      <c r="L9" s="19">
        <v>392607</v>
      </c>
      <c r="M9" s="19">
        <v>416852</v>
      </c>
      <c r="N9" s="19">
        <v>413167</v>
      </c>
      <c r="O9" s="18">
        <v>216888</v>
      </c>
      <c r="P9" s="18">
        <v>210620</v>
      </c>
    </row>
    <row r="10" spans="1:16" ht="12" customHeight="1">
      <c r="A10" s="2" t="s">
        <v>14</v>
      </c>
      <c r="C10" s="18">
        <v>47983</v>
      </c>
      <c r="D10" s="18">
        <v>253730</v>
      </c>
      <c r="E10" s="19">
        <v>164706</v>
      </c>
      <c r="F10" s="20">
        <v>75587</v>
      </c>
      <c r="G10" s="18">
        <v>53676</v>
      </c>
      <c r="H10" s="18">
        <v>214199</v>
      </c>
      <c r="I10" s="18">
        <v>163253</v>
      </c>
      <c r="J10" s="18">
        <v>185868</v>
      </c>
      <c r="K10" s="21">
        <v>306115</v>
      </c>
      <c r="L10" s="19">
        <v>257810</v>
      </c>
      <c r="M10" s="19">
        <v>267229</v>
      </c>
      <c r="N10" s="19">
        <v>293997</v>
      </c>
      <c r="O10" s="18">
        <v>90949</v>
      </c>
      <c r="P10" s="18">
        <v>83956</v>
      </c>
    </row>
    <row r="11" spans="1:16" ht="12" customHeight="1">
      <c r="A11" s="2" t="s">
        <v>15</v>
      </c>
      <c r="C11" s="19">
        <f aca="true" t="shared" si="0" ref="C11:P11">C12+C13</f>
        <v>58335</v>
      </c>
      <c r="D11" s="19">
        <f t="shared" si="0"/>
        <v>64322</v>
      </c>
      <c r="E11" s="19">
        <f t="shared" si="0"/>
        <v>42709</v>
      </c>
      <c r="F11" s="20">
        <f t="shared" si="0"/>
        <v>47845</v>
      </c>
      <c r="G11" s="18">
        <f t="shared" si="0"/>
        <v>68634</v>
      </c>
      <c r="H11" s="18">
        <f t="shared" si="0"/>
        <v>65232</v>
      </c>
      <c r="I11" s="18">
        <f t="shared" si="0"/>
        <v>119109</v>
      </c>
      <c r="J11" s="18">
        <f t="shared" si="0"/>
        <v>157076</v>
      </c>
      <c r="K11" s="21">
        <f t="shared" si="0"/>
        <v>126215</v>
      </c>
      <c r="L11" s="19">
        <f t="shared" si="0"/>
        <v>120019</v>
      </c>
      <c r="M11" s="19">
        <f t="shared" si="0"/>
        <v>136582</v>
      </c>
      <c r="N11" s="19">
        <f t="shared" si="0"/>
        <v>107479</v>
      </c>
      <c r="O11" s="18">
        <f t="shared" si="0"/>
        <v>112903</v>
      </c>
      <c r="P11" s="18">
        <f t="shared" si="0"/>
        <v>116267</v>
      </c>
    </row>
    <row r="12" spans="2:16" ht="12" customHeight="1">
      <c r="B12" s="2" t="s">
        <v>16</v>
      </c>
      <c r="C12" s="18">
        <v>0</v>
      </c>
      <c r="D12" s="18">
        <v>0</v>
      </c>
      <c r="E12" s="19">
        <v>0</v>
      </c>
      <c r="F12" s="20">
        <v>0</v>
      </c>
      <c r="G12" s="18">
        <v>0</v>
      </c>
      <c r="H12" s="18">
        <v>0</v>
      </c>
      <c r="I12" s="18">
        <v>129</v>
      </c>
      <c r="J12" s="18">
        <v>150</v>
      </c>
      <c r="K12" s="21">
        <v>781</v>
      </c>
      <c r="L12" s="19">
        <v>9</v>
      </c>
      <c r="M12" s="19">
        <v>10</v>
      </c>
      <c r="N12" s="19">
        <v>20</v>
      </c>
      <c r="O12" s="18">
        <v>27</v>
      </c>
      <c r="P12" s="18">
        <v>28</v>
      </c>
    </row>
    <row r="13" spans="2:16" ht="12" customHeight="1">
      <c r="B13" s="2" t="s">
        <v>17</v>
      </c>
      <c r="C13" s="18">
        <v>58335</v>
      </c>
      <c r="D13" s="18">
        <v>64322</v>
      </c>
      <c r="E13" s="19">
        <v>42709</v>
      </c>
      <c r="F13" s="20">
        <v>47845</v>
      </c>
      <c r="G13" s="18">
        <v>68634</v>
      </c>
      <c r="H13" s="18">
        <v>65232</v>
      </c>
      <c r="I13" s="18">
        <v>118980</v>
      </c>
      <c r="J13" s="18">
        <v>156926</v>
      </c>
      <c r="K13" s="21">
        <v>125434</v>
      </c>
      <c r="L13" s="19">
        <v>120010</v>
      </c>
      <c r="M13" s="19">
        <v>136572</v>
      </c>
      <c r="N13" s="19">
        <v>107459</v>
      </c>
      <c r="O13" s="18">
        <v>112876</v>
      </c>
      <c r="P13" s="18">
        <v>116239</v>
      </c>
    </row>
    <row r="14" spans="1:16" ht="12" customHeight="1">
      <c r="A14" s="2" t="s">
        <v>18</v>
      </c>
      <c r="C14" s="18">
        <v>7649</v>
      </c>
      <c r="D14" s="18">
        <v>7649</v>
      </c>
      <c r="E14" s="19">
        <v>7649</v>
      </c>
      <c r="F14" s="20">
        <v>6459</v>
      </c>
      <c r="G14" s="18">
        <v>6459</v>
      </c>
      <c r="H14" s="18">
        <v>6459</v>
      </c>
      <c r="I14" s="18">
        <v>6459</v>
      </c>
      <c r="J14" s="18">
        <v>6459</v>
      </c>
      <c r="K14" s="21">
        <v>4986</v>
      </c>
      <c r="L14" s="19">
        <v>5146</v>
      </c>
      <c r="M14" s="19">
        <v>5146</v>
      </c>
      <c r="N14" s="19">
        <v>5146</v>
      </c>
      <c r="O14" s="18">
        <v>7146</v>
      </c>
      <c r="P14" s="18">
        <v>4471</v>
      </c>
    </row>
    <row r="15" spans="1:16" ht="12" customHeight="1">
      <c r="A15" s="2" t="s">
        <v>19</v>
      </c>
      <c r="C15" s="19">
        <f aca="true" t="shared" si="1" ref="C15:P15">C16+C20</f>
        <v>65181</v>
      </c>
      <c r="D15" s="19">
        <f t="shared" si="1"/>
        <v>277873</v>
      </c>
      <c r="E15" s="19">
        <f t="shared" si="1"/>
        <v>167838</v>
      </c>
      <c r="F15" s="20">
        <f t="shared" si="1"/>
        <v>83717</v>
      </c>
      <c r="G15" s="18">
        <f t="shared" si="1"/>
        <v>80783</v>
      </c>
      <c r="H15" s="18">
        <f t="shared" si="1"/>
        <v>238336</v>
      </c>
      <c r="I15" s="18">
        <f t="shared" si="1"/>
        <v>238503</v>
      </c>
      <c r="J15" s="18">
        <f t="shared" si="1"/>
        <v>306351</v>
      </c>
      <c r="K15" s="21">
        <f t="shared" si="1"/>
        <v>398092</v>
      </c>
      <c r="L15" s="19">
        <f t="shared" si="1"/>
        <v>346030</v>
      </c>
      <c r="M15" s="19">
        <f t="shared" si="1"/>
        <v>369238</v>
      </c>
      <c r="N15" s="19">
        <f t="shared" si="1"/>
        <v>369304</v>
      </c>
      <c r="O15" s="18">
        <f t="shared" si="1"/>
        <v>171593</v>
      </c>
      <c r="P15" s="18">
        <f t="shared" si="1"/>
        <v>171848</v>
      </c>
    </row>
    <row r="16" spans="2:16" ht="12" customHeight="1">
      <c r="B16" s="2" t="s">
        <v>16</v>
      </c>
      <c r="C16" s="19">
        <f aca="true" t="shared" si="2" ref="C16:P16">SUM(C17:C19)</f>
        <v>0</v>
      </c>
      <c r="D16" s="19">
        <f t="shared" si="2"/>
        <v>0</v>
      </c>
      <c r="E16" s="19">
        <f t="shared" si="2"/>
        <v>0</v>
      </c>
      <c r="F16" s="20">
        <f t="shared" si="2"/>
        <v>0</v>
      </c>
      <c r="G16" s="18">
        <f t="shared" si="2"/>
        <v>0</v>
      </c>
      <c r="H16" s="18">
        <f t="shared" si="2"/>
        <v>21</v>
      </c>
      <c r="I16" s="18">
        <f t="shared" si="2"/>
        <v>119</v>
      </c>
      <c r="J16" s="18">
        <f t="shared" si="2"/>
        <v>125</v>
      </c>
      <c r="K16" s="21">
        <f t="shared" si="2"/>
        <v>572</v>
      </c>
      <c r="L16" s="19">
        <f t="shared" si="2"/>
        <v>0</v>
      </c>
      <c r="M16" s="19">
        <f t="shared" si="2"/>
        <v>74</v>
      </c>
      <c r="N16" s="19">
        <f t="shared" si="2"/>
        <v>138</v>
      </c>
      <c r="O16" s="18">
        <f t="shared" si="2"/>
        <v>94</v>
      </c>
      <c r="P16" s="18">
        <f t="shared" si="2"/>
        <v>492</v>
      </c>
    </row>
    <row r="17" spans="2:16" ht="12" customHeight="1">
      <c r="B17" s="2" t="s">
        <v>20</v>
      </c>
      <c r="C17" s="18">
        <v>0</v>
      </c>
      <c r="D17" s="19">
        <v>0</v>
      </c>
      <c r="E17" s="19">
        <v>0</v>
      </c>
      <c r="F17" s="20">
        <v>0</v>
      </c>
      <c r="G17" s="18">
        <v>0</v>
      </c>
      <c r="H17" s="18">
        <v>0</v>
      </c>
      <c r="I17" s="18">
        <v>0</v>
      </c>
      <c r="J17" s="18">
        <v>0</v>
      </c>
      <c r="K17" s="21">
        <v>0</v>
      </c>
      <c r="L17" s="19">
        <v>0</v>
      </c>
      <c r="M17" s="19">
        <v>0</v>
      </c>
      <c r="N17" s="19">
        <v>0</v>
      </c>
      <c r="O17" s="18">
        <v>0</v>
      </c>
      <c r="P17" s="18">
        <v>0</v>
      </c>
    </row>
    <row r="18" spans="2:16" ht="12" customHeight="1">
      <c r="B18" s="2" t="s">
        <v>21</v>
      </c>
      <c r="C18" s="18">
        <v>0</v>
      </c>
      <c r="D18" s="19">
        <v>0</v>
      </c>
      <c r="E18" s="19">
        <v>0</v>
      </c>
      <c r="F18" s="20">
        <v>0</v>
      </c>
      <c r="G18" s="18">
        <v>0</v>
      </c>
      <c r="H18" s="18">
        <v>21</v>
      </c>
      <c r="I18" s="18">
        <v>119</v>
      </c>
      <c r="J18" s="18">
        <v>125</v>
      </c>
      <c r="K18" s="21">
        <v>572</v>
      </c>
      <c r="L18" s="19">
        <v>0</v>
      </c>
      <c r="M18" s="19">
        <v>74</v>
      </c>
      <c r="N18" s="19">
        <v>138</v>
      </c>
      <c r="O18" s="18">
        <v>94</v>
      </c>
      <c r="P18" s="18">
        <v>492</v>
      </c>
    </row>
    <row r="19" spans="2:16" ht="12" customHeight="1">
      <c r="B19" s="2" t="s">
        <v>22</v>
      </c>
      <c r="C19" s="18">
        <v>0</v>
      </c>
      <c r="D19" s="19">
        <v>0</v>
      </c>
      <c r="E19" s="19">
        <v>0</v>
      </c>
      <c r="F19" s="20">
        <v>0</v>
      </c>
      <c r="G19" s="18">
        <v>0</v>
      </c>
      <c r="H19" s="18">
        <v>0</v>
      </c>
      <c r="I19" s="18">
        <v>0</v>
      </c>
      <c r="J19" s="18">
        <v>0</v>
      </c>
      <c r="K19" s="21">
        <v>0</v>
      </c>
      <c r="L19" s="19">
        <v>0</v>
      </c>
      <c r="M19" s="19">
        <v>0</v>
      </c>
      <c r="N19" s="19">
        <v>0</v>
      </c>
      <c r="O19" s="18">
        <v>0</v>
      </c>
      <c r="P19" s="18">
        <v>0</v>
      </c>
    </row>
    <row r="20" spans="2:16" ht="12" customHeight="1">
      <c r="B20" s="2" t="s">
        <v>17</v>
      </c>
      <c r="C20" s="19">
        <f>SUM(C21:C23)</f>
        <v>65181</v>
      </c>
      <c r="D20" s="19">
        <f aca="true" t="shared" si="3" ref="D20:P20">SUM(D22:D23)</f>
        <v>277873</v>
      </c>
      <c r="E20" s="19">
        <f t="shared" si="3"/>
        <v>167838</v>
      </c>
      <c r="F20" s="20">
        <f t="shared" si="3"/>
        <v>83717</v>
      </c>
      <c r="G20" s="18">
        <f t="shared" si="3"/>
        <v>80783</v>
      </c>
      <c r="H20" s="18">
        <f t="shared" si="3"/>
        <v>238315</v>
      </c>
      <c r="I20" s="18">
        <f t="shared" si="3"/>
        <v>238384</v>
      </c>
      <c r="J20" s="18">
        <f t="shared" si="3"/>
        <v>306226</v>
      </c>
      <c r="K20" s="21">
        <f t="shared" si="3"/>
        <v>397520</v>
      </c>
      <c r="L20" s="19">
        <f t="shared" si="3"/>
        <v>346030</v>
      </c>
      <c r="M20" s="19">
        <f t="shared" si="3"/>
        <v>369164</v>
      </c>
      <c r="N20" s="19">
        <f t="shared" si="3"/>
        <v>369166</v>
      </c>
      <c r="O20" s="18">
        <f t="shared" si="3"/>
        <v>171499</v>
      </c>
      <c r="P20" s="18">
        <f t="shared" si="3"/>
        <v>171356</v>
      </c>
    </row>
    <row r="21" spans="2:16" ht="12" customHeight="1">
      <c r="B21" s="2" t="s">
        <v>20</v>
      </c>
      <c r="C21" s="19"/>
      <c r="D21" s="19">
        <v>0</v>
      </c>
      <c r="E21" s="19">
        <v>0</v>
      </c>
      <c r="F21" s="20">
        <v>0</v>
      </c>
      <c r="G21" s="18">
        <v>0</v>
      </c>
      <c r="H21" s="18">
        <v>0</v>
      </c>
      <c r="I21" s="18">
        <v>0</v>
      </c>
      <c r="J21" s="18">
        <v>0</v>
      </c>
      <c r="K21" s="21">
        <v>0</v>
      </c>
      <c r="L21" s="19">
        <v>0</v>
      </c>
      <c r="M21" s="19">
        <v>0</v>
      </c>
      <c r="N21" s="19">
        <v>0</v>
      </c>
      <c r="O21" s="18"/>
      <c r="P21" s="18"/>
    </row>
    <row r="22" spans="2:16" ht="12" customHeight="1">
      <c r="B22" s="2" t="s">
        <v>21</v>
      </c>
      <c r="C22" s="18">
        <v>65088</v>
      </c>
      <c r="D22" s="18">
        <v>277693</v>
      </c>
      <c r="E22" s="19">
        <v>166493</v>
      </c>
      <c r="F22" s="20">
        <f>41599+40282</f>
        <v>81881</v>
      </c>
      <c r="G22" s="18">
        <f>34790+43863</f>
        <v>78653</v>
      </c>
      <c r="H22" s="18">
        <v>236547</v>
      </c>
      <c r="I22" s="18">
        <v>237095</v>
      </c>
      <c r="J22" s="18">
        <v>303938</v>
      </c>
      <c r="K22" s="21">
        <v>396264</v>
      </c>
      <c r="L22" s="19">
        <v>344865</v>
      </c>
      <c r="M22" s="19">
        <v>368138</v>
      </c>
      <c r="N22" s="19">
        <v>367994</v>
      </c>
      <c r="O22" s="18">
        <v>170034</v>
      </c>
      <c r="P22" s="18">
        <v>170832</v>
      </c>
    </row>
    <row r="23" spans="2:16" ht="12" customHeight="1">
      <c r="B23" s="2" t="s">
        <v>22</v>
      </c>
      <c r="C23" s="18">
        <v>93</v>
      </c>
      <c r="D23" s="18">
        <v>180</v>
      </c>
      <c r="E23" s="19">
        <v>1345</v>
      </c>
      <c r="F23" s="20">
        <f>804+1032</f>
        <v>1836</v>
      </c>
      <c r="G23" s="18">
        <f>1102+1028</f>
        <v>2130</v>
      </c>
      <c r="H23" s="18">
        <v>1768</v>
      </c>
      <c r="I23" s="18">
        <v>1289</v>
      </c>
      <c r="J23" s="18">
        <v>2288</v>
      </c>
      <c r="K23" s="21">
        <v>1256</v>
      </c>
      <c r="L23" s="19">
        <v>1165</v>
      </c>
      <c r="M23" s="19">
        <v>1026</v>
      </c>
      <c r="N23" s="19">
        <v>1172</v>
      </c>
      <c r="O23" s="18">
        <v>1465</v>
      </c>
      <c r="P23" s="18">
        <v>524</v>
      </c>
    </row>
    <row r="24" spans="1:16" ht="12" customHeight="1">
      <c r="A24" s="3" t="s">
        <v>23</v>
      </c>
      <c r="B24" s="3"/>
      <c r="C24" s="22">
        <v>42288</v>
      </c>
      <c r="D24" s="22">
        <v>43171</v>
      </c>
      <c r="E24" s="22">
        <v>43211</v>
      </c>
      <c r="F24" s="23">
        <v>42618</v>
      </c>
      <c r="G24" s="22">
        <v>42002</v>
      </c>
      <c r="H24" s="22">
        <v>41652</v>
      </c>
      <c r="I24" s="22">
        <v>40460</v>
      </c>
      <c r="J24" s="22">
        <v>39499</v>
      </c>
      <c r="K24" s="24">
        <v>40924</v>
      </c>
      <c r="L24" s="22">
        <v>39594</v>
      </c>
      <c r="M24" s="22">
        <v>37753</v>
      </c>
      <c r="N24" s="22">
        <v>35935</v>
      </c>
      <c r="O24" s="22">
        <v>34491</v>
      </c>
      <c r="P24" s="22">
        <v>32791</v>
      </c>
    </row>
    <row r="25" spans="1:16" ht="12" customHeight="1">
      <c r="A25" s="12" t="s">
        <v>24</v>
      </c>
      <c r="E25" s="4"/>
      <c r="F25" s="25"/>
      <c r="H25" s="18"/>
      <c r="J25" s="18"/>
      <c r="K25" s="21"/>
      <c r="L25" s="19"/>
      <c r="M25" s="19"/>
      <c r="N25" s="19"/>
      <c r="O25" s="18"/>
      <c r="P25" s="18"/>
    </row>
    <row r="26" spans="1:16" ht="12" customHeight="1">
      <c r="A26" s="2" t="s">
        <v>13</v>
      </c>
      <c r="C26" s="19">
        <f aca="true" t="shared" si="4" ref="C26:K26">(C9+G9)/2</f>
        <v>137612</v>
      </c>
      <c r="D26" s="19">
        <f t="shared" si="4"/>
        <v>322964.5</v>
      </c>
      <c r="E26" s="19">
        <f t="shared" si="4"/>
        <v>270760.5</v>
      </c>
      <c r="F26" s="20">
        <f t="shared" si="4"/>
        <v>258275.5</v>
      </c>
      <c r="G26" s="18">
        <f t="shared" si="4"/>
        <v>289773</v>
      </c>
      <c r="H26" s="18">
        <f t="shared" si="4"/>
        <v>341614</v>
      </c>
      <c r="I26" s="18">
        <f t="shared" si="4"/>
        <v>356737</v>
      </c>
      <c r="J26" s="18">
        <f t="shared" si="4"/>
        <v>385013.5</v>
      </c>
      <c r="K26" s="21">
        <f t="shared" si="4"/>
        <v>331575</v>
      </c>
      <c r="L26" s="19">
        <f>(L9+264343)/2</f>
        <v>328475</v>
      </c>
      <c r="M26" s="19">
        <f>(M9+213220)/2</f>
        <v>315036</v>
      </c>
      <c r="N26" s="19">
        <f>(N9+226905)/2</f>
        <v>320036</v>
      </c>
      <c r="O26" s="18">
        <f>(O9+P9)/2</f>
        <v>213754</v>
      </c>
      <c r="P26" s="18">
        <f>(P9+210878)/2</f>
        <v>210749</v>
      </c>
    </row>
    <row r="27" spans="1:16" ht="12" customHeight="1">
      <c r="A27" s="2" t="s">
        <v>25</v>
      </c>
      <c r="C27" s="19">
        <f aca="true" t="shared" si="5" ref="C27:P27">C28+C29</f>
        <v>70538.5</v>
      </c>
      <c r="D27" s="19">
        <f t="shared" si="5"/>
        <v>71831</v>
      </c>
      <c r="E27" s="19">
        <f t="shared" si="5"/>
        <v>87963</v>
      </c>
      <c r="F27" s="20">
        <f t="shared" si="5"/>
        <v>108919.5</v>
      </c>
      <c r="G27" s="18">
        <f t="shared" si="5"/>
        <v>103147</v>
      </c>
      <c r="H27" s="18">
        <f t="shared" si="5"/>
        <v>98428</v>
      </c>
      <c r="I27" s="18">
        <f t="shared" si="5"/>
        <v>133648</v>
      </c>
      <c r="J27" s="18">
        <f t="shared" si="5"/>
        <v>138080</v>
      </c>
      <c r="K27" s="21">
        <f t="shared" si="5"/>
        <v>125625</v>
      </c>
      <c r="L27" s="19">
        <f t="shared" si="5"/>
        <v>133087</v>
      </c>
      <c r="M27" s="19">
        <f t="shared" si="5"/>
        <v>136668</v>
      </c>
      <c r="N27" s="19">
        <f t="shared" si="5"/>
        <v>126488.5</v>
      </c>
      <c r="O27" s="18">
        <f t="shared" si="5"/>
        <v>120393.5</v>
      </c>
      <c r="P27" s="18">
        <f t="shared" si="5"/>
        <v>135171.5</v>
      </c>
    </row>
    <row r="28" spans="2:16" ht="12" customHeight="1">
      <c r="B28" s="2" t="s">
        <v>15</v>
      </c>
      <c r="C28" s="19">
        <f aca="true" t="shared" si="6" ref="C28:K28">(C11+G11)/2</f>
        <v>63484.5</v>
      </c>
      <c r="D28" s="19">
        <f t="shared" si="6"/>
        <v>64777</v>
      </c>
      <c r="E28" s="19">
        <f t="shared" si="6"/>
        <v>80909</v>
      </c>
      <c r="F28" s="20">
        <f t="shared" si="6"/>
        <v>102460.5</v>
      </c>
      <c r="G28" s="18">
        <f t="shared" si="6"/>
        <v>97424.5</v>
      </c>
      <c r="H28" s="18">
        <f t="shared" si="6"/>
        <v>92625.5</v>
      </c>
      <c r="I28" s="18">
        <f t="shared" si="6"/>
        <v>127845.5</v>
      </c>
      <c r="J28" s="18">
        <f t="shared" si="6"/>
        <v>132277.5</v>
      </c>
      <c r="K28" s="21">
        <f t="shared" si="6"/>
        <v>119559</v>
      </c>
      <c r="L28" s="19">
        <f>(L11+133863)/2</f>
        <v>126941</v>
      </c>
      <c r="M28" s="19">
        <f>(M11+124462)/2</f>
        <v>130522</v>
      </c>
      <c r="N28" s="19">
        <f>(N11+126278)/2</f>
        <v>116878.5</v>
      </c>
      <c r="O28" s="18">
        <f>(O11+P11)/2</f>
        <v>114585</v>
      </c>
      <c r="P28" s="18">
        <f>(P11+135292)/2</f>
        <v>125779.5</v>
      </c>
    </row>
    <row r="29" spans="2:16" ht="12" customHeight="1">
      <c r="B29" s="2" t="s">
        <v>18</v>
      </c>
      <c r="C29" s="19">
        <f aca="true" t="shared" si="7" ref="C29:K29">(C14+G14)/2</f>
        <v>7054</v>
      </c>
      <c r="D29" s="19">
        <f t="shared" si="7"/>
        <v>7054</v>
      </c>
      <c r="E29" s="19">
        <f t="shared" si="7"/>
        <v>7054</v>
      </c>
      <c r="F29" s="20">
        <f t="shared" si="7"/>
        <v>6459</v>
      </c>
      <c r="G29" s="18">
        <f t="shared" si="7"/>
        <v>5722.5</v>
      </c>
      <c r="H29" s="18">
        <f t="shared" si="7"/>
        <v>5802.5</v>
      </c>
      <c r="I29" s="18">
        <f t="shared" si="7"/>
        <v>5802.5</v>
      </c>
      <c r="J29" s="18">
        <f t="shared" si="7"/>
        <v>5802.5</v>
      </c>
      <c r="K29" s="21">
        <f t="shared" si="7"/>
        <v>6066</v>
      </c>
      <c r="L29" s="19">
        <f>(L14+7146)/2</f>
        <v>6146</v>
      </c>
      <c r="M29" s="19">
        <f>(M14+7146)/2</f>
        <v>6146</v>
      </c>
      <c r="N29" s="19">
        <f>(N14+14074)/2</f>
        <v>9610</v>
      </c>
      <c r="O29" s="18">
        <f>(O14+P14)/2</f>
        <v>5808.5</v>
      </c>
      <c r="P29" s="18">
        <f>(P14+14313)/2</f>
        <v>9392</v>
      </c>
    </row>
    <row r="30" spans="1:16" ht="12" customHeight="1">
      <c r="A30" s="3" t="s">
        <v>23</v>
      </c>
      <c r="B30" s="3"/>
      <c r="C30" s="22">
        <f aca="true" t="shared" si="8" ref="C30:K30">(C24+G24)/2</f>
        <v>42145</v>
      </c>
      <c r="D30" s="22">
        <f t="shared" si="8"/>
        <v>42411.5</v>
      </c>
      <c r="E30" s="22">
        <f t="shared" si="8"/>
        <v>41835.5</v>
      </c>
      <c r="F30" s="23">
        <f t="shared" si="8"/>
        <v>41058.5</v>
      </c>
      <c r="G30" s="22">
        <f t="shared" si="8"/>
        <v>41463</v>
      </c>
      <c r="H30" s="22">
        <f t="shared" si="8"/>
        <v>40623</v>
      </c>
      <c r="I30" s="22">
        <f t="shared" si="8"/>
        <v>39106.5</v>
      </c>
      <c r="J30" s="22">
        <f t="shared" si="8"/>
        <v>37717</v>
      </c>
      <c r="K30" s="24">
        <f t="shared" si="8"/>
        <v>37707.5</v>
      </c>
      <c r="L30" s="22">
        <f>(L24+34740)/2</f>
        <v>37167</v>
      </c>
      <c r="M30" s="22">
        <f>(M24+34818)/2</f>
        <v>36285.5</v>
      </c>
      <c r="N30" s="22">
        <f>(N24+33534)/2</f>
        <v>34734.5</v>
      </c>
      <c r="O30" s="22">
        <f>(O24+P24)/2</f>
        <v>33641</v>
      </c>
      <c r="P30" s="22">
        <f>(P24+29184)/2</f>
        <v>30987.5</v>
      </c>
    </row>
    <row r="31" spans="1:16" ht="12" customHeight="1">
      <c r="A31" s="12" t="s">
        <v>26</v>
      </c>
      <c r="E31" s="4"/>
      <c r="F31" s="25"/>
      <c r="H31" s="18"/>
      <c r="J31" s="18"/>
      <c r="K31" s="21"/>
      <c r="L31" s="19"/>
      <c r="M31" s="19"/>
      <c r="N31" s="19"/>
      <c r="O31" s="18"/>
      <c r="P31" s="18"/>
    </row>
    <row r="32" spans="1:16" ht="12" customHeight="1">
      <c r="A32" s="2" t="s">
        <v>27</v>
      </c>
      <c r="C32" s="18">
        <v>4715</v>
      </c>
      <c r="D32" s="18">
        <v>3213</v>
      </c>
      <c r="E32" s="19">
        <v>2034</v>
      </c>
      <c r="F32" s="26">
        <v>1049</v>
      </c>
      <c r="G32" s="27">
        <v>16580</v>
      </c>
      <c r="H32" s="18">
        <f>I32+3488</f>
        <v>13994</v>
      </c>
      <c r="I32" s="18">
        <f>J32+4472</f>
        <v>10506</v>
      </c>
      <c r="J32" s="18">
        <v>6034</v>
      </c>
      <c r="K32" s="21">
        <f>6248+L32</f>
        <v>24855</v>
      </c>
      <c r="L32" s="19">
        <f>7391+M32</f>
        <v>18607</v>
      </c>
      <c r="M32" s="19">
        <f>6765+N32</f>
        <v>11216</v>
      </c>
      <c r="N32" s="19">
        <v>4451</v>
      </c>
      <c r="O32" s="18">
        <v>16680</v>
      </c>
      <c r="P32" s="18">
        <v>17558</v>
      </c>
    </row>
    <row r="33" spans="1:16" ht="12" customHeight="1">
      <c r="A33" s="2" t="s">
        <v>28</v>
      </c>
      <c r="C33" s="18">
        <v>2225</v>
      </c>
      <c r="D33" s="18">
        <v>1473</v>
      </c>
      <c r="E33" s="19">
        <v>931</v>
      </c>
      <c r="F33" s="26">
        <v>466</v>
      </c>
      <c r="G33" s="27">
        <v>11388</v>
      </c>
      <c r="H33" s="18">
        <f>I33+2300</f>
        <v>9792</v>
      </c>
      <c r="I33" s="18">
        <f>J33+3117</f>
        <v>7492</v>
      </c>
      <c r="J33" s="18">
        <v>4375</v>
      </c>
      <c r="K33" s="21">
        <f>4409+L33</f>
        <v>17331</v>
      </c>
      <c r="L33" s="19">
        <f>5446+M33</f>
        <v>12922</v>
      </c>
      <c r="M33" s="19">
        <f>4757+N33</f>
        <v>7476</v>
      </c>
      <c r="N33" s="19">
        <v>2719</v>
      </c>
      <c r="O33" s="18">
        <v>9341</v>
      </c>
      <c r="P33" s="18">
        <v>10497</v>
      </c>
    </row>
    <row r="34" spans="1:16" ht="12" customHeight="1">
      <c r="A34" s="2" t="s">
        <v>29</v>
      </c>
      <c r="C34" s="19">
        <f aca="true" t="shared" si="9" ref="C34:P34">C32-C33</f>
        <v>2490</v>
      </c>
      <c r="D34" s="19">
        <f t="shared" si="9"/>
        <v>1740</v>
      </c>
      <c r="E34" s="19">
        <f t="shared" si="9"/>
        <v>1103</v>
      </c>
      <c r="F34" s="20">
        <f t="shared" si="9"/>
        <v>583</v>
      </c>
      <c r="G34" s="18">
        <f t="shared" si="9"/>
        <v>5192</v>
      </c>
      <c r="H34" s="18">
        <f t="shared" si="9"/>
        <v>4202</v>
      </c>
      <c r="I34" s="18">
        <f t="shared" si="9"/>
        <v>3014</v>
      </c>
      <c r="J34" s="18">
        <f t="shared" si="9"/>
        <v>1659</v>
      </c>
      <c r="K34" s="21">
        <f t="shared" si="9"/>
        <v>7524</v>
      </c>
      <c r="L34" s="19">
        <f t="shared" si="9"/>
        <v>5685</v>
      </c>
      <c r="M34" s="19">
        <f t="shared" si="9"/>
        <v>3740</v>
      </c>
      <c r="N34" s="19">
        <f t="shared" si="9"/>
        <v>1732</v>
      </c>
      <c r="O34" s="18">
        <f t="shared" si="9"/>
        <v>7339</v>
      </c>
      <c r="P34" s="18">
        <f t="shared" si="9"/>
        <v>7061</v>
      </c>
    </row>
    <row r="35" spans="1:16" ht="12" customHeight="1">
      <c r="A35" s="2" t="s">
        <v>30</v>
      </c>
      <c r="C35" s="18">
        <v>3204</v>
      </c>
      <c r="D35" s="18">
        <v>2615</v>
      </c>
      <c r="E35" s="19">
        <v>2462</v>
      </c>
      <c r="F35" s="26">
        <v>671</v>
      </c>
      <c r="G35" s="27">
        <v>2423</v>
      </c>
      <c r="H35" s="18">
        <f>I35+901</f>
        <v>2110</v>
      </c>
      <c r="I35" s="18">
        <f>J35+583</f>
        <v>1209</v>
      </c>
      <c r="J35" s="18">
        <v>626</v>
      </c>
      <c r="K35" s="21">
        <f>135+L35</f>
        <v>3072</v>
      </c>
      <c r="L35" s="19">
        <f>1520+M35</f>
        <v>2937</v>
      </c>
      <c r="M35" s="19">
        <f>1249+N35</f>
        <v>1417</v>
      </c>
      <c r="N35" s="19">
        <v>168</v>
      </c>
      <c r="O35" s="18">
        <v>6170</v>
      </c>
      <c r="P35" s="18">
        <v>3080</v>
      </c>
    </row>
    <row r="36" spans="1:16" ht="12" customHeight="1">
      <c r="A36" s="2" t="s">
        <v>31</v>
      </c>
      <c r="C36" s="19">
        <f aca="true" t="shared" si="10" ref="C36:P36">C34+C35</f>
        <v>5694</v>
      </c>
      <c r="D36" s="19">
        <f t="shared" si="10"/>
        <v>4355</v>
      </c>
      <c r="E36" s="19">
        <f t="shared" si="10"/>
        <v>3565</v>
      </c>
      <c r="F36" s="20">
        <f t="shared" si="10"/>
        <v>1254</v>
      </c>
      <c r="G36" s="18">
        <f t="shared" si="10"/>
        <v>7615</v>
      </c>
      <c r="H36" s="18">
        <f t="shared" si="10"/>
        <v>6312</v>
      </c>
      <c r="I36" s="18">
        <f t="shared" si="10"/>
        <v>4223</v>
      </c>
      <c r="J36" s="18">
        <f t="shared" si="10"/>
        <v>2285</v>
      </c>
      <c r="K36" s="21">
        <f t="shared" si="10"/>
        <v>10596</v>
      </c>
      <c r="L36" s="19">
        <f t="shared" si="10"/>
        <v>8622</v>
      </c>
      <c r="M36" s="19">
        <f t="shared" si="10"/>
        <v>5157</v>
      </c>
      <c r="N36" s="19">
        <f t="shared" si="10"/>
        <v>1900</v>
      </c>
      <c r="O36" s="18">
        <f t="shared" si="10"/>
        <v>13509</v>
      </c>
      <c r="P36" s="18">
        <f t="shared" si="10"/>
        <v>10141</v>
      </c>
    </row>
    <row r="37" spans="1:16" ht="12" customHeight="1">
      <c r="A37" s="2" t="s">
        <v>32</v>
      </c>
      <c r="C37" s="18">
        <v>3625</v>
      </c>
      <c r="D37" s="18">
        <v>1579</v>
      </c>
      <c r="E37" s="19">
        <v>1090</v>
      </c>
      <c r="F37" s="26">
        <v>562</v>
      </c>
      <c r="G37" s="27">
        <v>3125</v>
      </c>
      <c r="H37" s="18">
        <f>I37+850</f>
        <v>2353</v>
      </c>
      <c r="I37" s="18">
        <f>J37+975</f>
        <v>1503</v>
      </c>
      <c r="J37" s="18">
        <v>528</v>
      </c>
      <c r="K37" s="21">
        <f>340+L37</f>
        <v>1392</v>
      </c>
      <c r="L37" s="19">
        <f>264+M37</f>
        <v>1052</v>
      </c>
      <c r="M37" s="19">
        <f>358+N37</f>
        <v>788</v>
      </c>
      <c r="N37" s="19">
        <v>430</v>
      </c>
      <c r="O37" s="18">
        <v>3047</v>
      </c>
      <c r="P37" s="18">
        <v>3219</v>
      </c>
    </row>
    <row r="38" spans="1:16" ht="12" customHeight="1">
      <c r="A38" s="2" t="s">
        <v>33</v>
      </c>
      <c r="C38" s="19">
        <f aca="true" t="shared" si="11" ref="C38:P38">C36-C37</f>
        <v>2069</v>
      </c>
      <c r="D38" s="19">
        <f t="shared" si="11"/>
        <v>2776</v>
      </c>
      <c r="E38" s="19">
        <f t="shared" si="11"/>
        <v>2475</v>
      </c>
      <c r="F38" s="20">
        <f t="shared" si="11"/>
        <v>692</v>
      </c>
      <c r="G38" s="18">
        <f t="shared" si="11"/>
        <v>4490</v>
      </c>
      <c r="H38" s="18">
        <f t="shared" si="11"/>
        <v>3959</v>
      </c>
      <c r="I38" s="18">
        <f t="shared" si="11"/>
        <v>2720</v>
      </c>
      <c r="J38" s="18">
        <f t="shared" si="11"/>
        <v>1757</v>
      </c>
      <c r="K38" s="21">
        <f t="shared" si="11"/>
        <v>9204</v>
      </c>
      <c r="L38" s="19">
        <f t="shared" si="11"/>
        <v>7570</v>
      </c>
      <c r="M38" s="19">
        <f t="shared" si="11"/>
        <v>4369</v>
      </c>
      <c r="N38" s="19">
        <f t="shared" si="11"/>
        <v>1470</v>
      </c>
      <c r="O38" s="18">
        <f t="shared" si="11"/>
        <v>10462</v>
      </c>
      <c r="P38" s="18">
        <f t="shared" si="11"/>
        <v>6922</v>
      </c>
    </row>
    <row r="39" spans="1:16" ht="12" customHeight="1">
      <c r="A39" s="3" t="s">
        <v>34</v>
      </c>
      <c r="B39" s="3"/>
      <c r="C39" s="22">
        <v>286</v>
      </c>
      <c r="D39" s="22">
        <v>1169</v>
      </c>
      <c r="E39" s="22">
        <v>1210</v>
      </c>
      <c r="F39" s="28">
        <v>617</v>
      </c>
      <c r="G39" s="29">
        <v>1078</v>
      </c>
      <c r="H39" s="30">
        <f>I39+1192</f>
        <v>728</v>
      </c>
      <c r="I39" s="30">
        <f>J39+961</f>
        <v>-464</v>
      </c>
      <c r="J39" s="30">
        <v>-1425</v>
      </c>
      <c r="K39" s="24">
        <f>1329+L39</f>
        <v>6427</v>
      </c>
      <c r="L39" s="22">
        <f>1839+M39</f>
        <v>5098</v>
      </c>
      <c r="M39" s="22">
        <f>1815+N39</f>
        <v>3259</v>
      </c>
      <c r="N39" s="22">
        <v>1444</v>
      </c>
      <c r="O39" s="22">
        <v>1698</v>
      </c>
      <c r="P39" s="22">
        <v>3617</v>
      </c>
    </row>
    <row r="40" spans="1:16" ht="12" customHeight="1">
      <c r="A40" s="12" t="s">
        <v>35</v>
      </c>
      <c r="E40" s="19"/>
      <c r="F40" s="25"/>
      <c r="H40" s="18"/>
      <c r="I40" s="18"/>
      <c r="K40" s="21"/>
      <c r="L40" s="19"/>
      <c r="M40" s="19"/>
      <c r="N40" s="19"/>
      <c r="O40" s="18"/>
      <c r="P40" s="18"/>
    </row>
    <row r="41" spans="1:16" ht="12" customHeight="1">
      <c r="A41" s="2" t="s">
        <v>36</v>
      </c>
      <c r="C41" s="18">
        <v>0</v>
      </c>
      <c r="D41" s="18">
        <v>470</v>
      </c>
      <c r="E41" s="19">
        <v>470</v>
      </c>
      <c r="F41" s="20">
        <v>489</v>
      </c>
      <c r="G41" s="18">
        <v>778</v>
      </c>
      <c r="H41" s="18">
        <v>558</v>
      </c>
      <c r="I41" s="18">
        <v>665</v>
      </c>
      <c r="J41" s="18">
        <v>0</v>
      </c>
      <c r="K41" s="21">
        <v>0</v>
      </c>
      <c r="L41" s="19">
        <v>1259</v>
      </c>
      <c r="M41" s="19">
        <v>1998</v>
      </c>
      <c r="N41" s="19">
        <v>825</v>
      </c>
      <c r="O41" s="18">
        <v>809</v>
      </c>
      <c r="P41" s="18">
        <v>4350</v>
      </c>
    </row>
    <row r="42" spans="1:16" ht="12" customHeight="1">
      <c r="A42" s="2" t="s">
        <v>37</v>
      </c>
      <c r="C42" s="18">
        <v>2446</v>
      </c>
      <c r="D42" s="18">
        <v>1976</v>
      </c>
      <c r="E42" s="19">
        <v>1760</v>
      </c>
      <c r="F42" s="20">
        <v>1829</v>
      </c>
      <c r="G42" s="18">
        <v>2327</v>
      </c>
      <c r="H42" s="18">
        <v>2327</v>
      </c>
      <c r="I42" s="18">
        <v>3133</v>
      </c>
      <c r="J42" s="18">
        <v>3558</v>
      </c>
      <c r="K42" s="21">
        <v>2010</v>
      </c>
      <c r="L42" s="19">
        <v>1948</v>
      </c>
      <c r="M42" s="19">
        <v>3052</v>
      </c>
      <c r="N42" s="19">
        <v>3895</v>
      </c>
      <c r="O42" s="18">
        <v>3907</v>
      </c>
      <c r="P42" s="18">
        <v>1125</v>
      </c>
    </row>
    <row r="43" spans="1:16" ht="12" customHeight="1">
      <c r="A43" s="2" t="s">
        <v>38</v>
      </c>
      <c r="C43" s="31">
        <v>0</v>
      </c>
      <c r="D43" s="31">
        <f aca="true" t="shared" si="12" ref="D43:P43">D41/D11</f>
        <v>0.007306986723049656</v>
      </c>
      <c r="E43" s="31">
        <f t="shared" si="12"/>
        <v>0.01100470626799972</v>
      </c>
      <c r="F43" s="32">
        <f t="shared" si="12"/>
        <v>0.010220503709896541</v>
      </c>
      <c r="G43" s="33">
        <f t="shared" si="12"/>
        <v>0.011335489698983011</v>
      </c>
      <c r="H43" s="33">
        <f t="shared" si="12"/>
        <v>0.008554083885209713</v>
      </c>
      <c r="I43" s="33">
        <f t="shared" si="12"/>
        <v>0.005583121342635737</v>
      </c>
      <c r="J43" s="33">
        <f t="shared" si="12"/>
        <v>0</v>
      </c>
      <c r="K43" s="34">
        <f t="shared" si="12"/>
        <v>0</v>
      </c>
      <c r="L43" s="31">
        <f t="shared" si="12"/>
        <v>0.010490005749089728</v>
      </c>
      <c r="M43" s="31">
        <f t="shared" si="12"/>
        <v>0.014628574775592684</v>
      </c>
      <c r="N43" s="31">
        <f t="shared" si="12"/>
        <v>0.00767591808632384</v>
      </c>
      <c r="O43" s="33">
        <f t="shared" si="12"/>
        <v>0.007165442902314376</v>
      </c>
      <c r="P43" s="33">
        <f t="shared" si="12"/>
        <v>0.037413883561113644</v>
      </c>
    </row>
    <row r="44" spans="1:16" ht="12" customHeight="1">
      <c r="A44" s="2" t="s">
        <v>39</v>
      </c>
      <c r="C44" s="31">
        <v>0</v>
      </c>
      <c r="D44" s="31">
        <f aca="true" t="shared" si="13" ref="D44:I44">D42/D41</f>
        <v>4.2042553191489365</v>
      </c>
      <c r="E44" s="31">
        <f t="shared" si="13"/>
        <v>3.74468085106383</v>
      </c>
      <c r="F44" s="32">
        <f t="shared" si="13"/>
        <v>3.740286298568507</v>
      </c>
      <c r="G44" s="33">
        <f t="shared" si="13"/>
        <v>2.9910025706940875</v>
      </c>
      <c r="H44" s="33">
        <f t="shared" si="13"/>
        <v>4.170250896057348</v>
      </c>
      <c r="I44" s="33">
        <f t="shared" si="13"/>
        <v>4.711278195488722</v>
      </c>
      <c r="J44" s="33">
        <v>0</v>
      </c>
      <c r="K44" s="34">
        <v>0</v>
      </c>
      <c r="L44" s="31">
        <f>L42/L41</f>
        <v>1.5472597299444004</v>
      </c>
      <c r="M44" s="31">
        <f>M42/M41</f>
        <v>1.5275275275275275</v>
      </c>
      <c r="N44" s="31">
        <f>N42/N41</f>
        <v>4.721212121212122</v>
      </c>
      <c r="O44" s="33">
        <f>O42/O41</f>
        <v>4.829419035846724</v>
      </c>
      <c r="P44" s="33">
        <f>P42/P41</f>
        <v>0.25862068965517243</v>
      </c>
    </row>
    <row r="45" spans="1:16" ht="12" customHeight="1">
      <c r="A45" s="3" t="s">
        <v>40</v>
      </c>
      <c r="B45" s="3"/>
      <c r="C45" s="35">
        <f aca="true" t="shared" si="14" ref="C45:P45">C42/C11</f>
        <v>0.041930230564841006</v>
      </c>
      <c r="D45" s="35">
        <f t="shared" si="14"/>
        <v>0.030720437797332172</v>
      </c>
      <c r="E45" s="31">
        <f t="shared" si="14"/>
        <v>0.04120911283336065</v>
      </c>
      <c r="F45" s="36">
        <f t="shared" si="14"/>
        <v>0.03822760999059463</v>
      </c>
      <c r="G45" s="35">
        <f t="shared" si="14"/>
        <v>0.03390447882973453</v>
      </c>
      <c r="H45" s="35">
        <f t="shared" si="14"/>
        <v>0.03567267598724552</v>
      </c>
      <c r="I45" s="35">
        <f t="shared" si="14"/>
        <v>0.026303637844327463</v>
      </c>
      <c r="J45" s="35">
        <f t="shared" si="14"/>
        <v>0.022651455346456493</v>
      </c>
      <c r="K45" s="37">
        <f t="shared" si="14"/>
        <v>0.015925206988075903</v>
      </c>
      <c r="L45" s="35">
        <f t="shared" si="14"/>
        <v>0.016230763462451777</v>
      </c>
      <c r="M45" s="35">
        <f t="shared" si="14"/>
        <v>0.02234555065821265</v>
      </c>
      <c r="N45" s="35">
        <f t="shared" si="14"/>
        <v>0.03623963751058346</v>
      </c>
      <c r="O45" s="35">
        <f t="shared" si="14"/>
        <v>0.03460492635270985</v>
      </c>
      <c r="P45" s="35">
        <f t="shared" si="14"/>
        <v>0.009676004369253529</v>
      </c>
    </row>
    <row r="46" spans="1:14" ht="12" customHeight="1">
      <c r="A46" s="12" t="s">
        <v>41</v>
      </c>
      <c r="E46" s="4"/>
      <c r="F46" s="25"/>
      <c r="K46" s="38"/>
      <c r="L46" s="4"/>
      <c r="M46" s="4"/>
      <c r="N46" s="4"/>
    </row>
    <row r="47" spans="1:16" ht="12" customHeight="1">
      <c r="A47" s="2" t="s">
        <v>42</v>
      </c>
      <c r="C47" s="31">
        <f aca="true" t="shared" si="15" ref="C47:P47">C24/(C11+C14)</f>
        <v>0.6408826382153249</v>
      </c>
      <c r="D47" s="31">
        <f t="shared" si="15"/>
        <v>0.599838823970766</v>
      </c>
      <c r="E47" s="31">
        <f t="shared" si="15"/>
        <v>0.858076174589936</v>
      </c>
      <c r="F47" s="32">
        <f t="shared" si="15"/>
        <v>0.7848040659988215</v>
      </c>
      <c r="G47" s="33">
        <f t="shared" si="15"/>
        <v>0.5593330936305647</v>
      </c>
      <c r="H47" s="33">
        <f t="shared" si="15"/>
        <v>0.5809934301376742</v>
      </c>
      <c r="I47" s="33">
        <f t="shared" si="15"/>
        <v>0.3222158511722732</v>
      </c>
      <c r="J47" s="33">
        <f t="shared" si="15"/>
        <v>0.24153239367719448</v>
      </c>
      <c r="K47" s="34">
        <f t="shared" si="15"/>
        <v>0.31191835428083625</v>
      </c>
      <c r="L47" s="31">
        <f t="shared" si="15"/>
        <v>0.3163344385411257</v>
      </c>
      <c r="M47" s="31">
        <f t="shared" si="15"/>
        <v>0.2663764393768345</v>
      </c>
      <c r="N47" s="31">
        <f t="shared" si="15"/>
        <v>0.3190677025527192</v>
      </c>
      <c r="O47" s="33">
        <f t="shared" si="15"/>
        <v>0.28730768269623236</v>
      </c>
      <c r="P47" s="33">
        <f t="shared" si="15"/>
        <v>0.27158806672298696</v>
      </c>
    </row>
    <row r="48" spans="1:16" ht="12" customHeight="1">
      <c r="A48" s="3" t="s">
        <v>43</v>
      </c>
      <c r="B48" s="3"/>
      <c r="C48" s="35">
        <f>C24/C9</f>
        <v>0.29792870226856416</v>
      </c>
      <c r="D48" s="35">
        <f>D24/D9</f>
        <v>0.12150303398741373</v>
      </c>
      <c r="E48" s="35">
        <f>E24/E9</f>
        <v>0.17644416677895786</v>
      </c>
      <c r="F48" s="36">
        <f>F24/F11</f>
        <v>0.8907513846796948</v>
      </c>
      <c r="G48" s="35">
        <f>G24/G11</f>
        <v>0.6119707433633476</v>
      </c>
      <c r="H48" s="35">
        <f aca="true" t="shared" si="16" ref="H48:P48">H24/H9</f>
        <v>0.14332068226315373</v>
      </c>
      <c r="I48" s="35">
        <f t="shared" si="16"/>
        <v>0.13640255948648447</v>
      </c>
      <c r="J48" s="35">
        <f t="shared" si="16"/>
        <v>0.11068486241102954</v>
      </c>
      <c r="K48" s="37">
        <f t="shared" si="16"/>
        <v>0.09170397658774442</v>
      </c>
      <c r="L48" s="35">
        <f t="shared" si="16"/>
        <v>0.10084894054359703</v>
      </c>
      <c r="M48" s="35">
        <f t="shared" si="16"/>
        <v>0.09056691583583622</v>
      </c>
      <c r="N48" s="35">
        <f t="shared" si="16"/>
        <v>0.08697451635779237</v>
      </c>
      <c r="O48" s="35">
        <f t="shared" si="16"/>
        <v>0.15902677879827376</v>
      </c>
      <c r="P48" s="35">
        <f t="shared" si="16"/>
        <v>0.15568796885386002</v>
      </c>
    </row>
    <row r="49" spans="1:16" ht="12" customHeight="1">
      <c r="A49" s="12" t="s">
        <v>44</v>
      </c>
      <c r="E49" s="4"/>
      <c r="F49" s="25"/>
      <c r="J49" s="39"/>
      <c r="K49" s="40"/>
      <c r="L49" s="41"/>
      <c r="M49" s="41"/>
      <c r="N49" s="41"/>
      <c r="O49" s="39"/>
      <c r="P49" s="39"/>
    </row>
    <row r="50" spans="1:16" ht="12" customHeight="1">
      <c r="A50" s="2" t="s">
        <v>45</v>
      </c>
      <c r="C50" s="41">
        <f aca="true" t="shared" si="17" ref="C50:P50">C10/C15</f>
        <v>0.7361501050919746</v>
      </c>
      <c r="D50" s="41">
        <f t="shared" si="17"/>
        <v>0.913114984183422</v>
      </c>
      <c r="E50" s="41">
        <f t="shared" si="17"/>
        <v>0.9813391484645908</v>
      </c>
      <c r="F50" s="42">
        <f t="shared" si="17"/>
        <v>0.9028871077558919</v>
      </c>
      <c r="G50" s="39">
        <f t="shared" si="17"/>
        <v>0.6644467276530953</v>
      </c>
      <c r="H50" s="39">
        <f t="shared" si="17"/>
        <v>0.8987270072502686</v>
      </c>
      <c r="I50" s="39">
        <f t="shared" si="17"/>
        <v>0.6844903418405639</v>
      </c>
      <c r="J50" s="39">
        <f t="shared" si="17"/>
        <v>0.606715825964335</v>
      </c>
      <c r="K50" s="40">
        <f t="shared" si="17"/>
        <v>0.7689554173407153</v>
      </c>
      <c r="L50" s="41">
        <f t="shared" si="17"/>
        <v>0.7450510071381095</v>
      </c>
      <c r="M50" s="41">
        <f t="shared" si="17"/>
        <v>0.723731035267226</v>
      </c>
      <c r="N50" s="41">
        <f t="shared" si="17"/>
        <v>0.7960839850096397</v>
      </c>
      <c r="O50" s="39">
        <f t="shared" si="17"/>
        <v>0.5300274486721487</v>
      </c>
      <c r="P50" s="39">
        <f t="shared" si="17"/>
        <v>0.4885480191797402</v>
      </c>
    </row>
    <row r="51" spans="1:16" ht="12" customHeight="1">
      <c r="A51" s="2" t="s">
        <v>46</v>
      </c>
      <c r="C51" s="41">
        <f aca="true" t="shared" si="18" ref="C51:P51">C10/C9</f>
        <v>0.3380512892771594</v>
      </c>
      <c r="D51" s="41">
        <f t="shared" si="18"/>
        <v>0.7141128260551409</v>
      </c>
      <c r="E51" s="41">
        <f t="shared" si="18"/>
        <v>0.6725466416767729</v>
      </c>
      <c r="F51" s="42">
        <f t="shared" si="18"/>
        <v>0.47333287411313096</v>
      </c>
      <c r="G51" s="39">
        <f t="shared" si="18"/>
        <v>0.40271900603223193</v>
      </c>
      <c r="H51" s="39">
        <f t="shared" si="18"/>
        <v>0.737038961396458</v>
      </c>
      <c r="I51" s="39">
        <f t="shared" si="18"/>
        <v>0.5503738765162395</v>
      </c>
      <c r="J51" s="39">
        <f t="shared" si="18"/>
        <v>0.5208429075828056</v>
      </c>
      <c r="K51" s="40">
        <f t="shared" si="18"/>
        <v>0.6859535429859589</v>
      </c>
      <c r="L51" s="41">
        <f t="shared" si="18"/>
        <v>0.6566617508093335</v>
      </c>
      <c r="M51" s="41">
        <f t="shared" si="18"/>
        <v>0.6410644545306248</v>
      </c>
      <c r="N51" s="41">
        <f t="shared" si="18"/>
        <v>0.7115694138205617</v>
      </c>
      <c r="O51" s="39">
        <f t="shared" si="18"/>
        <v>0.419336247279702</v>
      </c>
      <c r="P51" s="39">
        <f t="shared" si="18"/>
        <v>0.3986136169404615</v>
      </c>
    </row>
    <row r="52" spans="1:16" ht="12" customHeight="1">
      <c r="A52" s="3" t="s">
        <v>47</v>
      </c>
      <c r="B52" s="3"/>
      <c r="C52" s="43">
        <f aca="true" t="shared" si="19" ref="C52:P52">(C10+C14)/C15</f>
        <v>0.8535002531412528</v>
      </c>
      <c r="D52" s="43">
        <f t="shared" si="19"/>
        <v>0.9406419479402461</v>
      </c>
      <c r="E52" s="43">
        <f t="shared" si="19"/>
        <v>1.0269128564449053</v>
      </c>
      <c r="F52" s="44">
        <f t="shared" si="19"/>
        <v>0.9800398963173549</v>
      </c>
      <c r="G52" s="43">
        <f t="shared" si="19"/>
        <v>0.7444016686679128</v>
      </c>
      <c r="H52" s="43">
        <f t="shared" si="19"/>
        <v>0.925827403329753</v>
      </c>
      <c r="I52" s="43">
        <f t="shared" si="19"/>
        <v>0.7115717622000561</v>
      </c>
      <c r="J52" s="43">
        <f t="shared" si="19"/>
        <v>0.6277994849045703</v>
      </c>
      <c r="K52" s="45">
        <f t="shared" si="19"/>
        <v>0.7814801603649407</v>
      </c>
      <c r="L52" s="43">
        <f t="shared" si="19"/>
        <v>0.7599225500679132</v>
      </c>
      <c r="M52" s="43">
        <f t="shared" si="19"/>
        <v>0.7376678456713556</v>
      </c>
      <c r="N52" s="43">
        <f t="shared" si="19"/>
        <v>0.8100183047029006</v>
      </c>
      <c r="O52" s="43">
        <f t="shared" si="19"/>
        <v>0.5716725041231285</v>
      </c>
      <c r="P52" s="43">
        <f t="shared" si="19"/>
        <v>0.5145651971509706</v>
      </c>
    </row>
    <row r="53" spans="1:14" ht="12" customHeight="1">
      <c r="A53" s="12" t="s">
        <v>48</v>
      </c>
      <c r="E53" s="4"/>
      <c r="F53" s="25"/>
      <c r="K53" s="38"/>
      <c r="L53" s="4"/>
      <c r="M53" s="4"/>
      <c r="N53" s="4"/>
    </row>
    <row r="54" spans="1:16" ht="12" customHeight="1">
      <c r="A54" s="2" t="s">
        <v>49</v>
      </c>
      <c r="B54" s="4"/>
      <c r="C54" s="31">
        <f>(C39)/C27</f>
        <v>0.0040545234162903945</v>
      </c>
      <c r="D54" s="31">
        <f>(D39/0.75)/D27</f>
        <v>0.021699080712598556</v>
      </c>
      <c r="E54" s="31">
        <f>(E39/0.5)/E27</f>
        <v>0.027511567363550583</v>
      </c>
      <c r="F54" s="32">
        <f>((F39)/0.25)/F27</f>
        <v>0.02265893618681687</v>
      </c>
      <c r="G54" s="46">
        <f>G39/G27</f>
        <v>0.010451103764530234</v>
      </c>
      <c r="H54" s="46">
        <f>(H39/0.75)/H27</f>
        <v>0.00986169247233172</v>
      </c>
      <c r="I54" s="33">
        <f>(I39/0.5)/I27</f>
        <v>-0.006943613073147372</v>
      </c>
      <c r="J54" s="33">
        <f>((J39)/0.25)/J27</f>
        <v>-0.04128041714947856</v>
      </c>
      <c r="K54" s="47">
        <f>K39/K27</f>
        <v>0.05116019900497512</v>
      </c>
      <c r="L54" s="46">
        <f>(L39/0.75)/L27</f>
        <v>0.05107435987987807</v>
      </c>
      <c r="M54" s="46">
        <f>(M39/0.5)/M27</f>
        <v>0.0476922176369011</v>
      </c>
      <c r="N54" s="31">
        <f>((N39)/0.25)/N27</f>
        <v>0.045664230345051134</v>
      </c>
      <c r="O54" s="33">
        <f>O39/O27</f>
        <v>0.014103751448375536</v>
      </c>
      <c r="P54" s="33">
        <f>P39/P27</f>
        <v>0.026758599260938883</v>
      </c>
    </row>
    <row r="55" spans="1:16" ht="12" customHeight="1">
      <c r="A55" s="2" t="s">
        <v>50</v>
      </c>
      <c r="B55" s="4"/>
      <c r="C55" s="31">
        <f>(C39)/C26</f>
        <v>0.002078307124378688</v>
      </c>
      <c r="D55" s="31">
        <f>(D39/0.75)/D26</f>
        <v>0.0048261238206263124</v>
      </c>
      <c r="E55" s="31">
        <f>(E39/0.5)/E26</f>
        <v>0.008937788192886334</v>
      </c>
      <c r="F55" s="32">
        <f>((F39)/0.25)/F26</f>
        <v>0.009555687628133525</v>
      </c>
      <c r="G55" s="46">
        <f>G39/G26</f>
        <v>0.003720153361424287</v>
      </c>
      <c r="H55" s="46">
        <f>(H39/0.75)/H26</f>
        <v>0.0028414136032676256</v>
      </c>
      <c r="I55" s="33">
        <f>(I39/0.5)/I26</f>
        <v>-0.002601356181164275</v>
      </c>
      <c r="J55" s="33">
        <f>((J39)/0.25)/J26</f>
        <v>-0.014804675680203421</v>
      </c>
      <c r="K55" s="47">
        <f>K39/K26</f>
        <v>0.019383246625951898</v>
      </c>
      <c r="L55" s="46">
        <f>(L39/0.75)/L26</f>
        <v>0.02069360935636908</v>
      </c>
      <c r="M55" s="46">
        <f>(M39/0.5)/M26</f>
        <v>0.02068969895504006</v>
      </c>
      <c r="N55" s="31">
        <f>((N39)/0.25)/N26</f>
        <v>0.018047969603419617</v>
      </c>
      <c r="O55" s="33">
        <f>O39/O26</f>
        <v>0.007943710994881966</v>
      </c>
      <c r="P55" s="33">
        <f>P39/P26</f>
        <v>0.017162596263801965</v>
      </c>
    </row>
    <row r="56" spans="1:16" ht="12" customHeight="1">
      <c r="A56" s="2" t="s">
        <v>51</v>
      </c>
      <c r="B56" s="4"/>
      <c r="C56" s="31">
        <f>(C39)/C30</f>
        <v>0.006786095622256495</v>
      </c>
      <c r="D56" s="31">
        <f>(D39/0.75)/D30</f>
        <v>0.036751038436901945</v>
      </c>
      <c r="E56" s="31">
        <f>(E39/0.5)/E30</f>
        <v>0.05784560958994156</v>
      </c>
      <c r="F56" s="32">
        <f>((F39)/0.25)/F30</f>
        <v>0.06010935616254856</v>
      </c>
      <c r="G56" s="46">
        <f>+G39/G30</f>
        <v>0.025999083520246966</v>
      </c>
      <c r="H56" s="46">
        <f>(H39/0.75)/H30</f>
        <v>0.023894509678425192</v>
      </c>
      <c r="I56" s="33">
        <f>(I39/0.5)/I30</f>
        <v>-0.023730070448646643</v>
      </c>
      <c r="J56" s="33">
        <f>((J39)/0.25)/J30</f>
        <v>-0.15112548718084684</v>
      </c>
      <c r="K56" s="47">
        <f>+K39/K30</f>
        <v>0.17044354571371742</v>
      </c>
      <c r="L56" s="46">
        <f>(L39/0.75)/L30</f>
        <v>0.18288625214123638</v>
      </c>
      <c r="M56" s="46">
        <f>(M39/0.5)/M30</f>
        <v>0.1796309820727288</v>
      </c>
      <c r="N56" s="31">
        <f>((N39)/0.25)/N30</f>
        <v>0.1662899998560509</v>
      </c>
      <c r="O56" s="33">
        <f>O39/O30</f>
        <v>0.05047412383698463</v>
      </c>
      <c r="P56" s="33">
        <f>P39/P30</f>
        <v>0.11672448567970956</v>
      </c>
    </row>
    <row r="57" spans="1:16" ht="12" customHeight="1">
      <c r="A57" s="2" t="s">
        <v>52</v>
      </c>
      <c r="B57" s="4"/>
      <c r="C57" s="31">
        <f>(C32)/C27</f>
        <v>0.06684292974758466</v>
      </c>
      <c r="D57" s="31">
        <f>(D32/0.75)/D27</f>
        <v>0.05963998830588465</v>
      </c>
      <c r="E57" s="31">
        <f>(E32/0.5)/E27</f>
        <v>0.046246717369803216</v>
      </c>
      <c r="F57" s="32">
        <f>((F32)/0.25)/F27</f>
        <v>0.038523863954571955</v>
      </c>
      <c r="G57" s="46">
        <f>G32/G27</f>
        <v>0.16074146606299747</v>
      </c>
      <c r="H57" s="46">
        <f>(H32/0.75)/H27</f>
        <v>0.1895666544750139</v>
      </c>
      <c r="I57" s="33">
        <f>(I32/0.5)/I27</f>
        <v>0.1572189632467377</v>
      </c>
      <c r="J57" s="33">
        <f>((J32)/0.25)/J27</f>
        <v>0.17479721900347625</v>
      </c>
      <c r="K57" s="47">
        <f>K32/K27</f>
        <v>0.19785074626865673</v>
      </c>
      <c r="L57" s="46">
        <f>(L32/0.75)/L27</f>
        <v>0.18641440060511794</v>
      </c>
      <c r="M57" s="46">
        <f>(M32/0.5)/M27</f>
        <v>0.16413498404893612</v>
      </c>
      <c r="N57" s="31">
        <f>((N32)/0.25)/N27</f>
        <v>0.14075587899295192</v>
      </c>
      <c r="O57" s="33">
        <f>O32/O27</f>
        <v>0.13854568560595049</v>
      </c>
      <c r="P57" s="33">
        <f>P32/P26</f>
        <v>0.08331237633393278</v>
      </c>
    </row>
    <row r="58" spans="1:16" ht="12" customHeight="1">
      <c r="A58" s="2" t="s">
        <v>53</v>
      </c>
      <c r="B58" s="4"/>
      <c r="C58" s="31">
        <f>(C33)/C27</f>
        <v>0.03154305804631513</v>
      </c>
      <c r="D58" s="31">
        <f>(D33/0.75)/D27</f>
        <v>0.027341955423145995</v>
      </c>
      <c r="E58" s="31">
        <f>(E33/0.5)/E27</f>
        <v>0.021167991087161647</v>
      </c>
      <c r="F58" s="32">
        <f>((F33)/0.25)/F27</f>
        <v>0.017113556342069142</v>
      </c>
      <c r="G58" s="46">
        <f>G33/G27</f>
        <v>0.110405537727709</v>
      </c>
      <c r="H58" s="46">
        <f>(H33/0.75)/H27</f>
        <v>0.13264518226520908</v>
      </c>
      <c r="I58" s="33">
        <f>(I33/0.5)/I27</f>
        <v>0.11211540763797438</v>
      </c>
      <c r="J58" s="33">
        <f>((J33)/0.25)/J27</f>
        <v>0.12673812282734648</v>
      </c>
      <c r="K58" s="47">
        <f>K33/K27</f>
        <v>0.13795820895522387</v>
      </c>
      <c r="L58" s="46">
        <f>(L33/0.75)/L27</f>
        <v>0.129459175827341</v>
      </c>
      <c r="M58" s="46">
        <f>(M33/0.5)/M27</f>
        <v>0.10940381069452981</v>
      </c>
      <c r="N58" s="31">
        <f>((N33)/0.25)/N27</f>
        <v>0.085984101321464</v>
      </c>
      <c r="O58" s="33">
        <f>O33/O27</f>
        <v>0.07758724515858414</v>
      </c>
      <c r="P58" s="33">
        <f>P33/P26</f>
        <v>0.0498080655186976</v>
      </c>
    </row>
    <row r="59" spans="1:16" ht="12" customHeight="1">
      <c r="A59" s="2" t="s">
        <v>54</v>
      </c>
      <c r="B59" s="4"/>
      <c r="C59" s="31">
        <f>(C34)/C27</f>
        <v>0.03529987170126952</v>
      </c>
      <c r="D59" s="31">
        <f>(D34/0.75)/D27</f>
        <v>0.03229803288273865</v>
      </c>
      <c r="E59" s="31">
        <f>(E34/0.5)/E27</f>
        <v>0.025078726282641566</v>
      </c>
      <c r="F59" s="32">
        <f>((F34)/0.25)/F27</f>
        <v>0.021410307612502812</v>
      </c>
      <c r="G59" s="46">
        <f>G34/G27</f>
        <v>0.05033592833528847</v>
      </c>
      <c r="H59" s="46">
        <f>(H34/0.75)/H27</f>
        <v>0.0569214722098048</v>
      </c>
      <c r="I59" s="33">
        <f>(I34/0.5)/I27</f>
        <v>0.04510355560876332</v>
      </c>
      <c r="J59" s="33">
        <f>((J34)/0.25)/J27</f>
        <v>0.04805909617612978</v>
      </c>
      <c r="K59" s="47">
        <f>K34/K27</f>
        <v>0.05989253731343284</v>
      </c>
      <c r="L59" s="46">
        <f>(L34/0.75)/L27</f>
        <v>0.056955224777776946</v>
      </c>
      <c r="M59" s="46">
        <f>(M34/0.5)/M27</f>
        <v>0.0547311733544063</v>
      </c>
      <c r="N59" s="31">
        <f>((N34)/0.25)/N27</f>
        <v>0.05477177767148792</v>
      </c>
      <c r="O59" s="33">
        <f>O34/O27</f>
        <v>0.06095844044736635</v>
      </c>
      <c r="P59" s="33">
        <f>P34/P26</f>
        <v>0.03350431081523519</v>
      </c>
    </row>
    <row r="60" spans="1:16" ht="12" customHeight="1">
      <c r="A60" s="2" t="s">
        <v>55</v>
      </c>
      <c r="B60" s="4"/>
      <c r="C60" s="31">
        <f>(C37)/(C36)</f>
        <v>0.6366350544432736</v>
      </c>
      <c r="D60" s="31">
        <f>(D37/0.75)/(D36/0.75)</f>
        <v>0.36257175660160734</v>
      </c>
      <c r="E60" s="31">
        <f>(E37/0.5)/(E36/0.5)</f>
        <v>0.30575035063113604</v>
      </c>
      <c r="F60" s="32">
        <f>(F37/0.25)/(F36/0.25)</f>
        <v>0.4481658692185008</v>
      </c>
      <c r="G60" s="46">
        <f>G37/G36</f>
        <v>0.4103742613263296</v>
      </c>
      <c r="H60" s="46">
        <f>(H37/0.75)/(H36/0.75)</f>
        <v>0.3727820025348543</v>
      </c>
      <c r="I60" s="33">
        <f>(I37/0.5)/(I36/0.5)</f>
        <v>0.355908122188018</v>
      </c>
      <c r="J60" s="33">
        <f>(J37/0.25)/(J36/0.25)</f>
        <v>0.23107221006564552</v>
      </c>
      <c r="K60" s="47">
        <f>K37/K36</f>
        <v>0.13137032842582105</v>
      </c>
      <c r="L60" s="46">
        <f>(L37/0.75)/(L36/0.75)</f>
        <v>0.12201345395499885</v>
      </c>
      <c r="M60" s="46">
        <f>(M37/0.5)/(M36/0.5)</f>
        <v>0.15280201667636223</v>
      </c>
      <c r="N60" s="31">
        <f>(N37/0.25)/(N36/0.25)</f>
        <v>0.22631578947368422</v>
      </c>
      <c r="O60" s="33">
        <f>O37/O36</f>
        <v>0.2255533348138278</v>
      </c>
      <c r="P60" s="33">
        <f>P37/P36</f>
        <v>0.31742431712848834</v>
      </c>
    </row>
    <row r="61" spans="1:16" ht="12" customHeight="1">
      <c r="A61" s="3" t="s">
        <v>56</v>
      </c>
      <c r="B61" s="3"/>
      <c r="C61" s="35">
        <f>(C35)/C27</f>
        <v>0.04542200358669379</v>
      </c>
      <c r="D61" s="35">
        <f>(D35/0.75)/D27</f>
        <v>0.04853985976342619</v>
      </c>
      <c r="E61" s="35">
        <f>(E35/0.5)/E27</f>
        <v>0.055978081693439284</v>
      </c>
      <c r="F61" s="36">
        <f>(F35/0.25)/F27</f>
        <v>0.024642052157786254</v>
      </c>
      <c r="G61" s="48">
        <f>G35/G27</f>
        <v>0.023490746216564707</v>
      </c>
      <c r="H61" s="48">
        <f>(H35/0.75)/H27</f>
        <v>0.02858265263271969</v>
      </c>
      <c r="I61" s="35">
        <f>(I35/0.5)/I27</f>
        <v>0.01809230216688615</v>
      </c>
      <c r="J61" s="35">
        <f>(J35/0.25)/J27</f>
        <v>0.01813441483198146</v>
      </c>
      <c r="K61" s="49">
        <f>K35/K27</f>
        <v>0.02445373134328358</v>
      </c>
      <c r="L61" s="48">
        <f>(L35/0.75)/L27</f>
        <v>0.02942436150788582</v>
      </c>
      <c r="M61" s="48">
        <f>(M35/0.5)/M27</f>
        <v>0.020736383059677465</v>
      </c>
      <c r="N61" s="35">
        <f>(N35/0.25)/N27</f>
        <v>0.005312735940421461</v>
      </c>
      <c r="O61" s="35">
        <f>O35/O27</f>
        <v>0.051248613920186724</v>
      </c>
      <c r="P61" s="35">
        <f>P35/P26</f>
        <v>0.014614541468761417</v>
      </c>
    </row>
    <row r="62" spans="1:14" ht="12" customHeight="1">
      <c r="A62" s="12" t="s">
        <v>57</v>
      </c>
      <c r="E62" s="4"/>
      <c r="F62" s="25"/>
      <c r="K62" s="38"/>
      <c r="L62" s="4"/>
      <c r="M62" s="4"/>
      <c r="N62" s="4"/>
    </row>
    <row r="63" spans="1:16" ht="12" customHeight="1">
      <c r="A63" s="2" t="s">
        <v>58</v>
      </c>
      <c r="C63" s="18">
        <v>7</v>
      </c>
      <c r="D63" s="18">
        <v>7</v>
      </c>
      <c r="E63" s="4">
        <v>7</v>
      </c>
      <c r="F63" s="25">
        <v>7</v>
      </c>
      <c r="G63" s="2">
        <v>4</v>
      </c>
      <c r="H63" s="18">
        <v>4</v>
      </c>
      <c r="I63" s="18">
        <v>8</v>
      </c>
      <c r="J63" s="18">
        <v>7</v>
      </c>
      <c r="K63" s="21">
        <v>7</v>
      </c>
      <c r="L63" s="19">
        <v>8</v>
      </c>
      <c r="M63" s="19">
        <v>8</v>
      </c>
      <c r="N63" s="19">
        <v>8</v>
      </c>
      <c r="O63" s="18">
        <v>8</v>
      </c>
      <c r="P63" s="18">
        <v>15</v>
      </c>
    </row>
    <row r="64" spans="1:16" ht="12" customHeight="1">
      <c r="A64" s="2" t="s">
        <v>59</v>
      </c>
      <c r="C64" s="18">
        <v>1</v>
      </c>
      <c r="D64" s="18">
        <v>1</v>
      </c>
      <c r="E64" s="4">
        <v>1</v>
      </c>
      <c r="F64" s="25">
        <v>1</v>
      </c>
      <c r="G64" s="2">
        <v>1</v>
      </c>
      <c r="H64" s="18">
        <v>1</v>
      </c>
      <c r="I64" s="18">
        <v>1</v>
      </c>
      <c r="J64" s="18">
        <v>1</v>
      </c>
      <c r="K64" s="21">
        <v>1</v>
      </c>
      <c r="L64" s="19">
        <v>1</v>
      </c>
      <c r="M64" s="19">
        <v>1</v>
      </c>
      <c r="N64" s="19">
        <v>1</v>
      </c>
      <c r="O64" s="18">
        <v>1</v>
      </c>
      <c r="P64" s="18">
        <v>1</v>
      </c>
    </row>
    <row r="65" spans="1:16" ht="12" customHeight="1">
      <c r="A65" s="2" t="s">
        <v>60</v>
      </c>
      <c r="C65" s="19">
        <f aca="true" t="shared" si="20" ref="C65:P65">C11/C63</f>
        <v>8333.57142857143</v>
      </c>
      <c r="D65" s="19">
        <f t="shared" si="20"/>
        <v>9188.857142857143</v>
      </c>
      <c r="E65" s="19">
        <f t="shared" si="20"/>
        <v>6101.285714285715</v>
      </c>
      <c r="F65" s="20">
        <f t="shared" si="20"/>
        <v>6835</v>
      </c>
      <c r="G65" s="18">
        <f t="shared" si="20"/>
        <v>17158.5</v>
      </c>
      <c r="H65" s="18">
        <f t="shared" si="20"/>
        <v>16308</v>
      </c>
      <c r="I65" s="18">
        <f t="shared" si="20"/>
        <v>14888.625</v>
      </c>
      <c r="J65" s="18">
        <f t="shared" si="20"/>
        <v>22439.428571428572</v>
      </c>
      <c r="K65" s="21">
        <f t="shared" si="20"/>
        <v>18030.714285714286</v>
      </c>
      <c r="L65" s="19">
        <f t="shared" si="20"/>
        <v>15002.375</v>
      </c>
      <c r="M65" s="19">
        <f t="shared" si="20"/>
        <v>17072.75</v>
      </c>
      <c r="N65" s="19">
        <f t="shared" si="20"/>
        <v>13434.875</v>
      </c>
      <c r="O65" s="18">
        <f t="shared" si="20"/>
        <v>14112.875</v>
      </c>
      <c r="P65" s="18">
        <f t="shared" si="20"/>
        <v>7751.133333333333</v>
      </c>
    </row>
    <row r="66" spans="1:16" ht="12" customHeight="1">
      <c r="A66" s="2" t="s">
        <v>61</v>
      </c>
      <c r="C66" s="19">
        <f aca="true" t="shared" si="21" ref="C66:P66">C15/C63</f>
        <v>9311.57142857143</v>
      </c>
      <c r="D66" s="19">
        <f t="shared" si="21"/>
        <v>39696.142857142855</v>
      </c>
      <c r="E66" s="19">
        <f t="shared" si="21"/>
        <v>23976.85714285714</v>
      </c>
      <c r="F66" s="20">
        <f t="shared" si="21"/>
        <v>11959.57142857143</v>
      </c>
      <c r="G66" s="18">
        <f t="shared" si="21"/>
        <v>20195.75</v>
      </c>
      <c r="H66" s="18">
        <f t="shared" si="21"/>
        <v>59584</v>
      </c>
      <c r="I66" s="18">
        <f t="shared" si="21"/>
        <v>29812.875</v>
      </c>
      <c r="J66" s="18">
        <f t="shared" si="21"/>
        <v>43764.42857142857</v>
      </c>
      <c r="K66" s="21">
        <f t="shared" si="21"/>
        <v>56870.28571428572</v>
      </c>
      <c r="L66" s="19">
        <f t="shared" si="21"/>
        <v>43253.75</v>
      </c>
      <c r="M66" s="19">
        <f t="shared" si="21"/>
        <v>46154.75</v>
      </c>
      <c r="N66" s="19">
        <f t="shared" si="21"/>
        <v>46163</v>
      </c>
      <c r="O66" s="18">
        <f t="shared" si="21"/>
        <v>21449.125</v>
      </c>
      <c r="P66" s="18">
        <f t="shared" si="21"/>
        <v>11456.533333333333</v>
      </c>
    </row>
    <row r="67" spans="1:16" ht="12" customHeight="1">
      <c r="A67" s="3" t="s">
        <v>62</v>
      </c>
      <c r="B67" s="3"/>
      <c r="C67" s="22">
        <f aca="true" t="shared" si="22" ref="C67:P67">(C39/C63)</f>
        <v>40.857142857142854</v>
      </c>
      <c r="D67" s="22">
        <f t="shared" si="22"/>
        <v>167</v>
      </c>
      <c r="E67" s="22">
        <f t="shared" si="22"/>
        <v>172.85714285714286</v>
      </c>
      <c r="F67" s="23">
        <f t="shared" si="22"/>
        <v>88.14285714285714</v>
      </c>
      <c r="G67" s="22">
        <f t="shared" si="22"/>
        <v>269.5</v>
      </c>
      <c r="H67" s="30">
        <f t="shared" si="22"/>
        <v>182</v>
      </c>
      <c r="I67" s="30">
        <f t="shared" si="22"/>
        <v>-58</v>
      </c>
      <c r="J67" s="30">
        <f t="shared" si="22"/>
        <v>-203.57142857142858</v>
      </c>
      <c r="K67" s="50">
        <f t="shared" si="22"/>
        <v>918.1428571428571</v>
      </c>
      <c r="L67" s="30">
        <f t="shared" si="22"/>
        <v>637.25</v>
      </c>
      <c r="M67" s="30">
        <f t="shared" si="22"/>
        <v>407.375</v>
      </c>
      <c r="N67" s="30">
        <f t="shared" si="22"/>
        <v>180.5</v>
      </c>
      <c r="O67" s="30">
        <f t="shared" si="22"/>
        <v>212.25</v>
      </c>
      <c r="P67" s="22">
        <f t="shared" si="22"/>
        <v>241.13333333333333</v>
      </c>
    </row>
    <row r="68" spans="1:14" ht="12" customHeight="1">
      <c r="A68" s="12" t="s">
        <v>63</v>
      </c>
      <c r="E68" s="4"/>
      <c r="F68" s="25"/>
      <c r="K68" s="38"/>
      <c r="L68" s="4"/>
      <c r="M68" s="4"/>
      <c r="N68" s="4"/>
    </row>
    <row r="69" spans="1:16" ht="12" customHeight="1">
      <c r="A69" s="2" t="s">
        <v>64</v>
      </c>
      <c r="C69" s="31">
        <f aca="true" t="shared" si="23" ref="C69:K69">(C9/G9)-1</f>
        <v>0.06494402929083765</v>
      </c>
      <c r="D69" s="31">
        <f t="shared" si="23"/>
        <v>0.22258198822521424</v>
      </c>
      <c r="E69" s="31">
        <f t="shared" si="23"/>
        <v>-0.17437344499059404</v>
      </c>
      <c r="F69" s="32">
        <f t="shared" si="23"/>
        <v>-0.5525107885445273</v>
      </c>
      <c r="G69" s="33">
        <f t="shared" si="23"/>
        <v>-0.7013324011455154</v>
      </c>
      <c r="H69" s="33">
        <f t="shared" si="23"/>
        <v>-0.2597661274506058</v>
      </c>
      <c r="I69" s="33">
        <f t="shared" si="23"/>
        <v>-0.28842370913417714</v>
      </c>
      <c r="J69" s="33">
        <f t="shared" si="23"/>
        <v>-0.13628145519850332</v>
      </c>
      <c r="K69" s="34">
        <f t="shared" si="23"/>
        <v>1.0575688834790307</v>
      </c>
      <c r="L69" s="31">
        <f>(L9/264343)-1</f>
        <v>0.48521806894829833</v>
      </c>
      <c r="M69" s="31">
        <f>(M9/213220)-1</f>
        <v>0.9550323609417504</v>
      </c>
      <c r="N69" s="31">
        <f>(N9/226905)-1</f>
        <v>0.820880985434433</v>
      </c>
      <c r="O69" s="33">
        <f>(O9/P9)-1</f>
        <v>0.029759756908175783</v>
      </c>
      <c r="P69" s="33">
        <f>(P9/210878)-1</f>
        <v>-0.0012234562163905283</v>
      </c>
    </row>
    <row r="70" spans="1:16" ht="12" customHeight="1">
      <c r="A70" s="2" t="s">
        <v>65</v>
      </c>
      <c r="C70" s="31">
        <f aca="true" t="shared" si="24" ref="C70:I70">(C11/G11)-1</f>
        <v>-0.1500568231488767</v>
      </c>
      <c r="D70" s="31">
        <f t="shared" si="24"/>
        <v>-0.01395020848663231</v>
      </c>
      <c r="E70" s="31">
        <f t="shared" si="24"/>
        <v>-0.6414292790637148</v>
      </c>
      <c r="F70" s="32">
        <f t="shared" si="24"/>
        <v>-0.6954022256741959</v>
      </c>
      <c r="G70" s="33">
        <f t="shared" si="24"/>
        <v>-0.45621360377134257</v>
      </c>
      <c r="H70" s="33">
        <f t="shared" si="24"/>
        <v>-0.4564860563744074</v>
      </c>
      <c r="I70" s="33">
        <f t="shared" si="24"/>
        <v>-0.12793047400096647</v>
      </c>
      <c r="J70" s="33">
        <f>J11/N11-1</f>
        <v>0.46145758706351936</v>
      </c>
      <c r="K70" s="34">
        <f>(K11/O11)-1</f>
        <v>0.11790652152732872</v>
      </c>
      <c r="L70" s="31">
        <f>L11/133863-1</f>
        <v>-0.10341916735767165</v>
      </c>
      <c r="M70" s="31">
        <f>M11/124462-1</f>
        <v>0.09737911973132363</v>
      </c>
      <c r="N70" s="31">
        <f>N11/126278-1</f>
        <v>-0.14886995359445032</v>
      </c>
      <c r="O70" s="33">
        <f>(O11/P11)-1</f>
        <v>-0.02893340328726124</v>
      </c>
      <c r="P70" s="33">
        <f>P11/135292-1</f>
        <v>-0.14062176625373268</v>
      </c>
    </row>
    <row r="71" spans="2:16" ht="12" customHeight="1">
      <c r="B71" s="2" t="s">
        <v>16</v>
      </c>
      <c r="C71" s="31">
        <v>0</v>
      </c>
      <c r="D71" s="33">
        <v>0</v>
      </c>
      <c r="E71" s="31">
        <f aca="true" t="shared" si="25" ref="E71:J72">(E12/I12)-1</f>
        <v>-1</v>
      </c>
      <c r="F71" s="32">
        <f t="shared" si="25"/>
        <v>-1</v>
      </c>
      <c r="G71" s="33">
        <f t="shared" si="25"/>
        <v>-1</v>
      </c>
      <c r="H71" s="33">
        <f t="shared" si="25"/>
        <v>-1</v>
      </c>
      <c r="I71" s="33">
        <f t="shared" si="25"/>
        <v>11.9</v>
      </c>
      <c r="J71" s="33">
        <f t="shared" si="25"/>
        <v>6.5</v>
      </c>
      <c r="K71" s="34">
        <f>(K12/O12)-1</f>
        <v>27.925925925925927</v>
      </c>
      <c r="L71" s="31">
        <f>(L12/30)-1</f>
        <v>-0.7</v>
      </c>
      <c r="M71" s="31">
        <f>(M12/13)-1</f>
        <v>-0.23076923076923073</v>
      </c>
      <c r="N71" s="31">
        <f>(N12/14)-1</f>
        <v>0.4285714285714286</v>
      </c>
      <c r="O71" s="33">
        <f>(O12/P12)-1</f>
        <v>-0.0357142857142857</v>
      </c>
      <c r="P71" s="33">
        <f>(P12/114)-1</f>
        <v>-0.7543859649122807</v>
      </c>
    </row>
    <row r="72" spans="2:16" ht="12" customHeight="1">
      <c r="B72" s="2" t="s">
        <v>17</v>
      </c>
      <c r="C72" s="31">
        <f>(C13/G13)-1</f>
        <v>-0.1500568231488767</v>
      </c>
      <c r="D72" s="31">
        <f>(D13/H13)-1</f>
        <v>-0.01395020848663231</v>
      </c>
      <c r="E72" s="31">
        <f t="shared" si="25"/>
        <v>-0.6410405110102538</v>
      </c>
      <c r="F72" s="32">
        <f t="shared" si="25"/>
        <v>-0.6951110714604336</v>
      </c>
      <c r="G72" s="33">
        <f t="shared" si="25"/>
        <v>-0.4528277819411005</v>
      </c>
      <c r="H72" s="33">
        <f t="shared" si="25"/>
        <v>-0.4564452962253146</v>
      </c>
      <c r="I72" s="33">
        <f t="shared" si="25"/>
        <v>-0.12881117652227392</v>
      </c>
      <c r="J72" s="33">
        <f t="shared" si="25"/>
        <v>0.46033370867028345</v>
      </c>
      <c r="K72" s="34">
        <f>(K13/O13)-1</f>
        <v>0.11125482830716882</v>
      </c>
      <c r="L72" s="31">
        <f>(L13/133833)-1</f>
        <v>-0.10328543782176292</v>
      </c>
      <c r="M72" s="31">
        <f>(M13/124449)-1</f>
        <v>0.097413398259528</v>
      </c>
      <c r="N72" s="31">
        <f>(N13/126264)-1</f>
        <v>-0.148933979598302</v>
      </c>
      <c r="O72" s="33">
        <f>(O13/P13)-1</f>
        <v>-0.028931769887903358</v>
      </c>
      <c r="P72" s="33">
        <f>(P13/135179)-1</f>
        <v>-0.14011052012516734</v>
      </c>
    </row>
    <row r="73" spans="1:16" ht="12" customHeight="1">
      <c r="A73" s="2" t="s">
        <v>66</v>
      </c>
      <c r="C73" s="31">
        <f aca="true" t="shared" si="26" ref="C73:K73">(C15/G15)-1</f>
        <v>-0.1931346941807064</v>
      </c>
      <c r="D73" s="31">
        <f t="shared" si="26"/>
        <v>0.16588765440386677</v>
      </c>
      <c r="E73" s="31">
        <f t="shared" si="26"/>
        <v>-0.2962855813134426</v>
      </c>
      <c r="F73" s="32">
        <f t="shared" si="26"/>
        <v>-0.7267284911751553</v>
      </c>
      <c r="G73" s="33">
        <f t="shared" si="26"/>
        <v>-0.7970745455824282</v>
      </c>
      <c r="H73" s="33">
        <f t="shared" si="26"/>
        <v>-0.3112273502297489</v>
      </c>
      <c r="I73" s="33">
        <f t="shared" si="26"/>
        <v>-0.35406702452076977</v>
      </c>
      <c r="J73" s="33">
        <f t="shared" si="26"/>
        <v>-0.17046389965990083</v>
      </c>
      <c r="K73" s="34">
        <f t="shared" si="26"/>
        <v>1.3199780876842295</v>
      </c>
      <c r="L73" s="31">
        <f>L15/221708-1</f>
        <v>0.5607465675573275</v>
      </c>
      <c r="M73" s="31">
        <f>M15/173389-1</f>
        <v>1.1295353223099505</v>
      </c>
      <c r="N73" s="31">
        <f>N15/187483-1</f>
        <v>0.969799928526853</v>
      </c>
      <c r="O73" s="33">
        <f>(O15/P15)-1</f>
        <v>-0.0014838694660397334</v>
      </c>
      <c r="P73" s="33">
        <f>P15/160967-1</f>
        <v>0.06759770636217355</v>
      </c>
    </row>
    <row r="74" spans="2:16" ht="12" customHeight="1">
      <c r="B74" s="2" t="s">
        <v>16</v>
      </c>
      <c r="C74" s="31">
        <v>0</v>
      </c>
      <c r="D74" s="33">
        <v>0</v>
      </c>
      <c r="E74" s="31">
        <f>(E16/I16)-1</f>
        <v>-1</v>
      </c>
      <c r="F74" s="32">
        <f>(F16/J16)-1</f>
        <v>-1</v>
      </c>
      <c r="G74" s="33">
        <f>(G16/K16)-1</f>
        <v>-1</v>
      </c>
      <c r="H74" s="33">
        <v>0</v>
      </c>
      <c r="I74" s="33">
        <f>(I16/M16)-1</f>
        <v>0.6081081081081081</v>
      </c>
      <c r="J74" s="33">
        <f>(J16/N16)-1</f>
        <v>-0.09420289855072461</v>
      </c>
      <c r="K74" s="34">
        <f>(K16/O16)-1</f>
        <v>5.085106382978723</v>
      </c>
      <c r="L74" s="31">
        <f>(L16/181)-1</f>
        <v>-1</v>
      </c>
      <c r="M74" s="31">
        <f>(M16/286)-1</f>
        <v>-0.7412587412587412</v>
      </c>
      <c r="N74" s="31">
        <f>(N16/339)-1</f>
        <v>-0.5929203539823009</v>
      </c>
      <c r="O74" s="33">
        <f>(O16/P16)-1</f>
        <v>-0.8089430894308943</v>
      </c>
      <c r="P74" s="33">
        <f>(P16/701)-1</f>
        <v>-0.29814550641940085</v>
      </c>
    </row>
    <row r="75" spans="2:16" ht="12" customHeight="1">
      <c r="B75" s="2" t="s">
        <v>17</v>
      </c>
      <c r="C75" s="31">
        <f aca="true" t="shared" si="27" ref="C75:K75">(C20/G20)-1</f>
        <v>-0.1931346941807064</v>
      </c>
      <c r="D75" s="31">
        <f t="shared" si="27"/>
        <v>0.16599039086922773</v>
      </c>
      <c r="E75" s="31">
        <f t="shared" si="27"/>
        <v>-0.2959342908920062</v>
      </c>
      <c r="F75" s="32">
        <f t="shared" si="27"/>
        <v>-0.726616943042067</v>
      </c>
      <c r="G75" s="33">
        <f t="shared" si="27"/>
        <v>-0.796782551821292</v>
      </c>
      <c r="H75" s="33">
        <f t="shared" si="27"/>
        <v>-0.31128803860936916</v>
      </c>
      <c r="I75" s="33">
        <f t="shared" si="27"/>
        <v>-0.3542598953310724</v>
      </c>
      <c r="J75" s="33">
        <f t="shared" si="27"/>
        <v>-0.17049240720976466</v>
      </c>
      <c r="K75" s="34">
        <f t="shared" si="27"/>
        <v>1.3179143901713712</v>
      </c>
      <c r="L75" s="31">
        <f>(L20/221526)-1</f>
        <v>0.5620288363442665</v>
      </c>
      <c r="M75" s="31">
        <f>(M20/173102)-1</f>
        <v>1.1326385599242066</v>
      </c>
      <c r="N75" s="31">
        <f>(N20/187145)-1</f>
        <v>0.9726201608378531</v>
      </c>
      <c r="O75" s="33">
        <f>(O20/P20)-1</f>
        <v>0.0008345199467774123</v>
      </c>
      <c r="P75" s="33">
        <f>(P20/160266)-1</f>
        <v>0.06919745922404008</v>
      </c>
    </row>
    <row r="76" spans="1:16" ht="12" customHeight="1">
      <c r="A76" s="2" t="s">
        <v>67</v>
      </c>
      <c r="C76" s="31">
        <f aca="true" t="shared" si="28" ref="C76:K76">(C24/G24)-1</f>
        <v>0.006809199561925716</v>
      </c>
      <c r="D76" s="31">
        <f t="shared" si="28"/>
        <v>0.03646883703063475</v>
      </c>
      <c r="E76" s="31">
        <f t="shared" si="28"/>
        <v>0.06799307958477518</v>
      </c>
      <c r="F76" s="32">
        <f t="shared" si="28"/>
        <v>0.07896402440568107</v>
      </c>
      <c r="G76" s="33">
        <f t="shared" si="28"/>
        <v>0.026341511093734837</v>
      </c>
      <c r="H76" s="33">
        <f t="shared" si="28"/>
        <v>0.05197757235944844</v>
      </c>
      <c r="I76" s="33">
        <f t="shared" si="28"/>
        <v>0.07170291102693827</v>
      </c>
      <c r="J76" s="33">
        <f t="shared" si="28"/>
        <v>0.09917907332684006</v>
      </c>
      <c r="K76" s="34">
        <f t="shared" si="28"/>
        <v>0.18651242353077624</v>
      </c>
      <c r="L76" s="31">
        <f>(L24/34740)-1</f>
        <v>0.13972366148531945</v>
      </c>
      <c r="M76" s="31">
        <f>(M24/34818)-1</f>
        <v>0.08429547934976167</v>
      </c>
      <c r="N76" s="31">
        <f>(N24/33534)-1</f>
        <v>0.07159897417546368</v>
      </c>
      <c r="O76" s="33">
        <f>(O24/P24)-1</f>
        <v>0.051843493641547944</v>
      </c>
      <c r="P76" s="33">
        <f>(P24/29184)-1</f>
        <v>0.1235951206140351</v>
      </c>
    </row>
    <row r="77" spans="1:16" ht="12" customHeight="1">
      <c r="A77" s="3" t="s">
        <v>68</v>
      </c>
      <c r="B77" s="3"/>
      <c r="C77" s="35">
        <f aca="true" t="shared" si="29" ref="C77:K77">(C39/G39)-1</f>
        <v>-0.7346938775510203</v>
      </c>
      <c r="D77" s="35">
        <f t="shared" si="29"/>
        <v>0.6057692307692308</v>
      </c>
      <c r="E77" s="35">
        <f t="shared" si="29"/>
        <v>-3.6077586206896552</v>
      </c>
      <c r="F77" s="36">
        <f t="shared" si="29"/>
        <v>-1.4329824561403508</v>
      </c>
      <c r="G77" s="35">
        <f t="shared" si="29"/>
        <v>-0.8322701104714486</v>
      </c>
      <c r="H77" s="35">
        <f t="shared" si="29"/>
        <v>-0.8571989015300118</v>
      </c>
      <c r="I77" s="35">
        <f t="shared" si="29"/>
        <v>-1.1423749616446763</v>
      </c>
      <c r="J77" s="35">
        <f t="shared" si="29"/>
        <v>-1.986842105263158</v>
      </c>
      <c r="K77" s="37">
        <f t="shared" si="29"/>
        <v>2.7850412249705534</v>
      </c>
      <c r="L77" s="35">
        <f>(L39/1947)-1</f>
        <v>1.6183872624550593</v>
      </c>
      <c r="M77" s="35">
        <f>(M39/2026)-1</f>
        <v>0.6085883514313919</v>
      </c>
      <c r="N77" s="35">
        <f>(N39/742)-1</f>
        <v>0.9460916442048517</v>
      </c>
      <c r="O77" s="35">
        <f>(O39/P39)-1</f>
        <v>-0.5305501797069394</v>
      </c>
      <c r="P77" s="35">
        <f>(P39/8250)-1</f>
        <v>-0.5615757575757576</v>
      </c>
    </row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</sheetData>
  <sheetProtection/>
  <mergeCells count="4">
    <mergeCell ref="K6:N6"/>
    <mergeCell ref="O6:P6"/>
    <mergeCell ref="G6:J6"/>
    <mergeCell ref="C6:F6"/>
  </mergeCells>
  <printOptions horizontalCentered="1" verticalCentered="1"/>
  <pageMargins left="0.75" right="0.75" top="1" bottom="1" header="0" footer="0"/>
  <pageSetup horizontalDpi="300" verticalDpi="3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2017-06-16T16:06:45Z</dcterms:created>
  <dcterms:modified xsi:type="dcterms:W3CDTF">2017-06-16T16:06:48Z</dcterms:modified>
  <cp:category/>
  <cp:version/>
  <cp:contentType/>
  <cp:contentStatus/>
</cp:coreProperties>
</file>