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afé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<sst xmlns="http://schemas.openxmlformats.org/spreadsheetml/2006/main" count="89" uniqueCount="68">
  <si>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18-19</t>
  </si>
  <si>
    <t>BANCAFE (PANAMA), S.A.</t>
  </si>
  <si>
    <t>ESTADISTICA FINANCIERA. TRIMESTRES 2000, 2001Y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</si>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</sst>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9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95" fontId="1" fillId="0" borderId="0" xfId="46" applyNumberFormat="1" applyFont="1" applyBorder="1" applyAlignment="1">
      <alignment/>
    </xf>
    <xf numFmtId="195" fontId="2" fillId="0" borderId="0" xfId="46" applyNumberFormat="1" applyFont="1" applyBorder="1" applyAlignment="1">
      <alignment/>
    </xf>
    <xf numFmtId="3" fontId="2" fillId="0" borderId="0" xfId="46" applyNumberFormat="1" applyFont="1" applyBorder="1" applyAlignment="1">
      <alignment/>
    </xf>
    <xf numFmtId="10" fontId="2" fillId="0" borderId="0" xfId="52" applyNumberFormat="1" applyFont="1" applyBorder="1" applyAlignment="1">
      <alignment/>
    </xf>
    <xf numFmtId="197" fontId="2" fillId="0" borderId="0" xfId="5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95" fontId="4" fillId="0" borderId="16" xfId="46" applyNumberFormat="1" applyFont="1" applyBorder="1" applyAlignment="1">
      <alignment/>
    </xf>
    <xf numFmtId="195" fontId="4" fillId="0" borderId="0" xfId="46" applyNumberFormat="1" applyFont="1" applyBorder="1" applyAlignment="1">
      <alignment/>
    </xf>
    <xf numFmtId="0" fontId="3" fillId="0" borderId="0" xfId="0" applyFont="1" applyAlignment="1">
      <alignment/>
    </xf>
    <xf numFmtId="195" fontId="3" fillId="0" borderId="0" xfId="46" applyNumberFormat="1" applyFont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0" xfId="46" applyNumberFormat="1" applyFont="1" applyBorder="1" applyAlignment="1">
      <alignment/>
    </xf>
    <xf numFmtId="0" fontId="3" fillId="0" borderId="10" xfId="0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195" fontId="3" fillId="0" borderId="15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3" fontId="3" fillId="0" borderId="13" xfId="46" applyNumberFormat="1" applyFont="1" applyBorder="1" applyAlignment="1">
      <alignment/>
    </xf>
    <xf numFmtId="3" fontId="3" fillId="0" borderId="10" xfId="46" applyNumberFormat="1" applyFont="1" applyBorder="1" applyAlignment="1">
      <alignment/>
    </xf>
    <xf numFmtId="3" fontId="3" fillId="0" borderId="14" xfId="46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5</xdr:row>
      <xdr:rowOff>66675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6" sqref="B16"/>
    </sheetView>
  </sheetViews>
  <sheetFormatPr defaultColWidth="11.421875" defaultRowHeight="12.75"/>
  <cols>
    <col min="1" max="1" width="0.9921875" style="23" customWidth="1"/>
    <col min="2" max="2" width="28.421875" style="23" customWidth="1"/>
    <col min="3" max="3" width="7.8515625" style="23" customWidth="1"/>
    <col min="4" max="4" width="7.7109375" style="23" bestFit="1" customWidth="1"/>
    <col min="5" max="5" width="7.421875" style="23" customWidth="1"/>
    <col min="6" max="6" width="7.7109375" style="23" customWidth="1"/>
    <col min="7" max="7" width="8.140625" style="23" customWidth="1"/>
    <col min="8" max="8" width="7.7109375" style="23" bestFit="1" customWidth="1"/>
    <col min="9" max="9" width="7.7109375" style="23" customWidth="1"/>
    <col min="10" max="10" width="7.57421875" style="23" customWidth="1"/>
    <col min="11" max="11" width="8.00390625" style="23" customWidth="1"/>
    <col min="12" max="12" width="7.7109375" style="23" bestFit="1" customWidth="1"/>
    <col min="13" max="13" width="7.57421875" style="23" customWidth="1"/>
    <col min="14" max="14" width="7.8515625" style="23" customWidth="1"/>
    <col min="15" max="16" width="6.421875" style="2" hidden="1" customWidth="1"/>
    <col min="17" max="16384" width="11.421875" style="2" customWidth="1"/>
  </cols>
  <sheetData>
    <row r="1" spans="2:16" ht="11.25">
      <c r="B1" s="1"/>
      <c r="C1" s="1"/>
      <c r="D1" s="1"/>
      <c r="E1" s="1"/>
      <c r="F1" s="1"/>
      <c r="G1" s="58" t="s">
        <v>0</v>
      </c>
      <c r="H1" s="1"/>
      <c r="I1" s="1"/>
      <c r="J1" s="1"/>
      <c r="K1" s="1"/>
      <c r="L1" s="1"/>
      <c r="M1" s="1"/>
      <c r="N1" s="1"/>
      <c r="O1" s="1"/>
      <c r="P1" s="1"/>
    </row>
    <row r="2" spans="2:16" ht="11.25">
      <c r="B2" s="1"/>
      <c r="C2" s="1"/>
      <c r="D2" s="1"/>
      <c r="E2" s="1"/>
      <c r="F2" s="1"/>
      <c r="G2" s="58" t="s">
        <v>1</v>
      </c>
      <c r="H2" s="1"/>
      <c r="I2" s="1"/>
      <c r="J2" s="1"/>
      <c r="K2" s="1"/>
      <c r="L2" s="1"/>
      <c r="M2" s="1"/>
      <c r="N2" s="1"/>
      <c r="O2" s="1"/>
      <c r="P2" s="1"/>
    </row>
    <row r="3" spans="2:16" ht="11.25">
      <c r="B3" s="1"/>
      <c r="C3" s="1"/>
      <c r="D3" s="1"/>
      <c r="E3" s="1"/>
      <c r="F3" s="1"/>
      <c r="G3" s="58" t="s">
        <v>2</v>
      </c>
      <c r="H3" s="1"/>
      <c r="I3" s="1"/>
      <c r="J3" s="1"/>
      <c r="K3" s="1"/>
      <c r="L3" s="1"/>
      <c r="M3" s="1"/>
      <c r="N3" s="1"/>
      <c r="O3" s="1"/>
      <c r="P3" s="1"/>
    </row>
    <row r="4" spans="1:16" ht="11.25">
      <c r="A4" s="2"/>
      <c r="B4" s="3"/>
      <c r="C4" s="3"/>
      <c r="D4" s="3"/>
      <c r="E4" s="3"/>
      <c r="F4" s="3"/>
      <c r="G4" s="12" t="s">
        <v>3</v>
      </c>
      <c r="H4" s="3"/>
      <c r="I4" s="3"/>
      <c r="J4" s="3"/>
      <c r="K4" s="3"/>
      <c r="L4" s="3"/>
      <c r="M4" s="3"/>
      <c r="N4" s="3"/>
      <c r="O4" s="3"/>
      <c r="P4" s="3"/>
    </row>
    <row r="5" spans="1:16" ht="9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1.2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3"/>
      <c r="P6" s="3"/>
    </row>
    <row r="7" spans="1:16" ht="12.75" customHeight="1">
      <c r="A7" s="13"/>
      <c r="B7" s="13"/>
      <c r="C7" s="61">
        <v>2002</v>
      </c>
      <c r="D7" s="61"/>
      <c r="E7" s="61"/>
      <c r="F7" s="63"/>
      <c r="G7" s="61">
        <v>2001</v>
      </c>
      <c r="H7" s="61"/>
      <c r="I7" s="61"/>
      <c r="J7" s="61"/>
      <c r="K7" s="60">
        <v>2000</v>
      </c>
      <c r="L7" s="61"/>
      <c r="M7" s="61"/>
      <c r="N7" s="61"/>
      <c r="O7" s="62" t="s">
        <v>4</v>
      </c>
      <c r="P7" s="62"/>
    </row>
    <row r="8" spans="1:17" ht="11.25">
      <c r="A8" s="14"/>
      <c r="B8" s="14"/>
      <c r="C8" s="15" t="s">
        <v>5</v>
      </c>
      <c r="D8" s="14" t="s">
        <v>6</v>
      </c>
      <c r="E8" s="59" t="s">
        <v>7</v>
      </c>
      <c r="F8" s="16" t="s">
        <v>8</v>
      </c>
      <c r="G8" s="15" t="s">
        <v>5</v>
      </c>
      <c r="H8" s="14" t="s">
        <v>6</v>
      </c>
      <c r="I8" s="14" t="s">
        <v>7</v>
      </c>
      <c r="J8" s="14" t="s">
        <v>8</v>
      </c>
      <c r="K8" s="17" t="s">
        <v>5</v>
      </c>
      <c r="L8" s="14" t="s">
        <v>6</v>
      </c>
      <c r="M8" s="14" t="s">
        <v>7</v>
      </c>
      <c r="N8" s="14" t="s">
        <v>8</v>
      </c>
      <c r="O8" s="4" t="s">
        <v>9</v>
      </c>
      <c r="P8" s="4" t="s">
        <v>10</v>
      </c>
      <c r="Q8" s="5"/>
    </row>
    <row r="9" spans="1:17" ht="11.25">
      <c r="A9" s="18" t="s">
        <v>11</v>
      </c>
      <c r="B9" s="18"/>
      <c r="C9" s="18"/>
      <c r="D9" s="18"/>
      <c r="E9" s="19"/>
      <c r="F9" s="20"/>
      <c r="G9" s="18"/>
      <c r="H9" s="18"/>
      <c r="I9" s="18"/>
      <c r="J9" s="18"/>
      <c r="K9" s="21"/>
      <c r="L9" s="22"/>
      <c r="M9" s="22"/>
      <c r="N9" s="22"/>
      <c r="O9" s="6"/>
      <c r="P9" s="6"/>
      <c r="Q9" s="5"/>
    </row>
    <row r="10" spans="1:17" ht="11.25">
      <c r="A10" s="23" t="s">
        <v>12</v>
      </c>
      <c r="C10" s="24">
        <v>193186</v>
      </c>
      <c r="D10" s="24">
        <v>194878</v>
      </c>
      <c r="E10" s="27">
        <v>204060</v>
      </c>
      <c r="F10" s="25">
        <v>208217</v>
      </c>
      <c r="G10" s="24">
        <v>218214</v>
      </c>
      <c r="H10" s="24">
        <v>221537</v>
      </c>
      <c r="I10" s="24">
        <v>229669</v>
      </c>
      <c r="J10" s="24">
        <v>234789</v>
      </c>
      <c r="K10" s="26">
        <v>211220</v>
      </c>
      <c r="L10" s="27">
        <v>209184</v>
      </c>
      <c r="M10" s="27">
        <v>217879</v>
      </c>
      <c r="N10" s="27">
        <v>224316</v>
      </c>
      <c r="O10" s="7">
        <v>215693</v>
      </c>
      <c r="P10" s="7">
        <v>272496</v>
      </c>
      <c r="Q10" s="5"/>
    </row>
    <row r="11" spans="1:17" ht="11.25">
      <c r="A11" s="23" t="s">
        <v>13</v>
      </c>
      <c r="C11" s="24">
        <v>15336</v>
      </c>
      <c r="D11" s="24">
        <v>18461</v>
      </c>
      <c r="E11" s="27">
        <v>22272</v>
      </c>
      <c r="F11" s="25">
        <v>18880</v>
      </c>
      <c r="G11" s="24">
        <v>17907</v>
      </c>
      <c r="H11" s="24">
        <v>18954</v>
      </c>
      <c r="I11" s="24">
        <v>20853</v>
      </c>
      <c r="J11" s="24">
        <v>20183</v>
      </c>
      <c r="K11" s="26">
        <v>19340</v>
      </c>
      <c r="L11" s="27">
        <v>6685</v>
      </c>
      <c r="M11" s="27">
        <v>10410</v>
      </c>
      <c r="N11" s="27">
        <v>7544</v>
      </c>
      <c r="O11" s="7">
        <v>14728</v>
      </c>
      <c r="P11" s="7">
        <v>10784</v>
      </c>
      <c r="Q11" s="5"/>
    </row>
    <row r="12" spans="1:17" ht="11.25">
      <c r="A12" s="23" t="s">
        <v>14</v>
      </c>
      <c r="C12" s="27">
        <f aca="true" t="shared" si="0" ref="C12:P12">C13+C14</f>
        <v>132015</v>
      </c>
      <c r="D12" s="27">
        <f t="shared" si="0"/>
        <v>129038</v>
      </c>
      <c r="E12" s="27">
        <f t="shared" si="0"/>
        <v>125715</v>
      </c>
      <c r="F12" s="25">
        <f t="shared" si="0"/>
        <v>128523</v>
      </c>
      <c r="G12" s="24">
        <f t="shared" si="0"/>
        <v>151618</v>
      </c>
      <c r="H12" s="24">
        <f t="shared" si="0"/>
        <v>154158</v>
      </c>
      <c r="I12" s="24">
        <f t="shared" si="0"/>
        <v>161038</v>
      </c>
      <c r="J12" s="24">
        <f t="shared" si="0"/>
        <v>166271</v>
      </c>
      <c r="K12" s="26">
        <f t="shared" si="0"/>
        <v>146791</v>
      </c>
      <c r="L12" s="27">
        <f t="shared" si="0"/>
        <v>181652</v>
      </c>
      <c r="M12" s="27">
        <f t="shared" si="0"/>
        <v>186348</v>
      </c>
      <c r="N12" s="27">
        <f t="shared" si="0"/>
        <v>188313</v>
      </c>
      <c r="O12" s="7">
        <f t="shared" si="0"/>
        <v>178036</v>
      </c>
      <c r="P12" s="7">
        <f t="shared" si="0"/>
        <v>244132</v>
      </c>
      <c r="Q12" s="5"/>
    </row>
    <row r="13" spans="2:17" ht="11.25">
      <c r="B13" s="23" t="s">
        <v>15</v>
      </c>
      <c r="C13" s="24">
        <v>104380</v>
      </c>
      <c r="D13" s="24">
        <v>105334</v>
      </c>
      <c r="E13" s="27">
        <v>101449</v>
      </c>
      <c r="F13" s="25">
        <v>102500</v>
      </c>
      <c r="G13" s="24">
        <v>103598</v>
      </c>
      <c r="H13" s="24">
        <v>107714</v>
      </c>
      <c r="I13" s="24">
        <v>113979</v>
      </c>
      <c r="J13" s="24">
        <v>115304</v>
      </c>
      <c r="K13" s="26">
        <v>115234</v>
      </c>
      <c r="L13" s="27">
        <v>115159</v>
      </c>
      <c r="M13" s="27">
        <v>115309</v>
      </c>
      <c r="N13" s="27">
        <v>114753</v>
      </c>
      <c r="O13" s="7">
        <v>101671</v>
      </c>
      <c r="P13" s="7">
        <v>108464</v>
      </c>
      <c r="Q13" s="5"/>
    </row>
    <row r="14" spans="2:17" ht="11.25">
      <c r="B14" s="23" t="s">
        <v>16</v>
      </c>
      <c r="C14" s="24">
        <v>27635</v>
      </c>
      <c r="D14" s="24">
        <v>23704</v>
      </c>
      <c r="E14" s="27">
        <v>24266</v>
      </c>
      <c r="F14" s="25">
        <v>26023</v>
      </c>
      <c r="G14" s="24">
        <v>48020</v>
      </c>
      <c r="H14" s="24">
        <v>46444</v>
      </c>
      <c r="I14" s="24">
        <v>47059</v>
      </c>
      <c r="J14" s="24">
        <v>50967</v>
      </c>
      <c r="K14" s="26">
        <v>31557</v>
      </c>
      <c r="L14" s="27">
        <v>66493</v>
      </c>
      <c r="M14" s="27">
        <v>71039</v>
      </c>
      <c r="N14" s="27">
        <v>73560</v>
      </c>
      <c r="O14" s="7">
        <v>76365</v>
      </c>
      <c r="P14" s="7">
        <v>135668</v>
      </c>
      <c r="Q14" s="5"/>
    </row>
    <row r="15" spans="1:17" ht="11.25">
      <c r="A15" s="23" t="s">
        <v>17</v>
      </c>
      <c r="C15" s="24">
        <v>25331</v>
      </c>
      <c r="D15" s="24">
        <v>23905</v>
      </c>
      <c r="E15" s="27">
        <v>24506</v>
      </c>
      <c r="F15" s="25">
        <v>28136</v>
      </c>
      <c r="G15" s="24">
        <v>15247</v>
      </c>
      <c r="H15" s="24">
        <v>11425</v>
      </c>
      <c r="I15" s="24">
        <v>8431</v>
      </c>
      <c r="J15" s="24">
        <v>5759</v>
      </c>
      <c r="K15" s="26">
        <v>9212</v>
      </c>
      <c r="L15" s="27">
        <v>5485</v>
      </c>
      <c r="M15" s="27">
        <v>5397</v>
      </c>
      <c r="N15" s="27">
        <v>5300</v>
      </c>
      <c r="O15" s="7">
        <v>5381</v>
      </c>
      <c r="P15" s="7">
        <v>1640</v>
      </c>
      <c r="Q15" s="5"/>
    </row>
    <row r="16" spans="1:17" ht="11.25">
      <c r="A16" s="23" t="s">
        <v>18</v>
      </c>
      <c r="C16" s="27">
        <f aca="true" t="shared" si="1" ref="C16:P16">C17+C21</f>
        <v>144091</v>
      </c>
      <c r="D16" s="27">
        <f t="shared" si="1"/>
        <v>147835</v>
      </c>
      <c r="E16" s="27">
        <f t="shared" si="1"/>
        <v>152667</v>
      </c>
      <c r="F16" s="25">
        <f t="shared" si="1"/>
        <v>155235</v>
      </c>
      <c r="G16" s="24">
        <f t="shared" si="1"/>
        <v>165543</v>
      </c>
      <c r="H16" s="24">
        <f t="shared" si="1"/>
        <v>161528</v>
      </c>
      <c r="I16" s="24">
        <f t="shared" si="1"/>
        <v>167770</v>
      </c>
      <c r="J16" s="24">
        <f t="shared" si="1"/>
        <v>175529</v>
      </c>
      <c r="K16" s="26">
        <f t="shared" si="1"/>
        <v>150896</v>
      </c>
      <c r="L16" s="27">
        <f t="shared" si="1"/>
        <v>152320</v>
      </c>
      <c r="M16" s="27">
        <f t="shared" si="1"/>
        <v>149219</v>
      </c>
      <c r="N16" s="27">
        <f t="shared" si="1"/>
        <v>160013</v>
      </c>
      <c r="O16" s="7">
        <f t="shared" si="1"/>
        <v>150885</v>
      </c>
      <c r="P16" s="7">
        <f t="shared" si="1"/>
        <v>175245</v>
      </c>
      <c r="Q16" s="5"/>
    </row>
    <row r="17" spans="2:17" ht="11.25">
      <c r="B17" s="23" t="s">
        <v>15</v>
      </c>
      <c r="C17" s="27">
        <f aca="true" t="shared" si="2" ref="C17:P17">SUM(C18:C20)</f>
        <v>64912</v>
      </c>
      <c r="D17" s="27">
        <f t="shared" si="2"/>
        <v>62471</v>
      </c>
      <c r="E17" s="27">
        <f t="shared" si="2"/>
        <v>60787</v>
      </c>
      <c r="F17" s="25">
        <f t="shared" si="2"/>
        <v>57911</v>
      </c>
      <c r="G17" s="24">
        <f t="shared" si="2"/>
        <v>63601</v>
      </c>
      <c r="H17" s="24">
        <f t="shared" si="2"/>
        <v>44350</v>
      </c>
      <c r="I17" s="24">
        <f t="shared" si="2"/>
        <v>47990</v>
      </c>
      <c r="J17" s="24">
        <f t="shared" si="2"/>
        <v>45253</v>
      </c>
      <c r="K17" s="26">
        <f t="shared" si="2"/>
        <v>39850</v>
      </c>
      <c r="L17" s="27">
        <f t="shared" si="2"/>
        <v>39421</v>
      </c>
      <c r="M17" s="27">
        <f t="shared" si="2"/>
        <v>40805</v>
      </c>
      <c r="N17" s="27">
        <f t="shared" si="2"/>
        <v>45979</v>
      </c>
      <c r="O17" s="7">
        <f t="shared" si="2"/>
        <v>41193</v>
      </c>
      <c r="P17" s="7">
        <f t="shared" si="2"/>
        <v>52177</v>
      </c>
      <c r="Q17" s="5"/>
    </row>
    <row r="18" spans="2:17" ht="11.25">
      <c r="B18" s="23" t="s">
        <v>19</v>
      </c>
      <c r="C18" s="24">
        <v>0</v>
      </c>
      <c r="D18" s="24">
        <v>0</v>
      </c>
      <c r="E18" s="27">
        <v>0</v>
      </c>
      <c r="F18" s="25">
        <v>0</v>
      </c>
      <c r="G18" s="24">
        <v>0</v>
      </c>
      <c r="H18" s="24">
        <v>0</v>
      </c>
      <c r="I18" s="24">
        <v>0</v>
      </c>
      <c r="J18" s="24">
        <v>0</v>
      </c>
      <c r="K18" s="26">
        <v>0</v>
      </c>
      <c r="L18" s="27">
        <v>0</v>
      </c>
      <c r="M18" s="27">
        <v>0</v>
      </c>
      <c r="N18" s="27">
        <v>0</v>
      </c>
      <c r="O18" s="7">
        <v>0</v>
      </c>
      <c r="P18" s="7">
        <v>0</v>
      </c>
      <c r="Q18" s="5"/>
    </row>
    <row r="19" spans="2:17" ht="11.25">
      <c r="B19" s="23" t="s">
        <v>20</v>
      </c>
      <c r="C19" s="24">
        <v>56675</v>
      </c>
      <c r="D19" s="24">
        <v>56224</v>
      </c>
      <c r="E19" s="27">
        <v>54122</v>
      </c>
      <c r="F19" s="25">
        <f>5208+47530</f>
        <v>52738</v>
      </c>
      <c r="G19" s="24">
        <f>6154+46283</f>
        <v>52437</v>
      </c>
      <c r="H19" s="24">
        <v>36224</v>
      </c>
      <c r="I19" s="24">
        <v>39893</v>
      </c>
      <c r="J19" s="24">
        <v>37171</v>
      </c>
      <c r="K19" s="26">
        <v>31826</v>
      </c>
      <c r="L19" s="27">
        <v>31408</v>
      </c>
      <c r="M19" s="27">
        <v>32788</v>
      </c>
      <c r="N19" s="27">
        <v>32921</v>
      </c>
      <c r="O19" s="7">
        <v>34669</v>
      </c>
      <c r="P19" s="7">
        <v>41364</v>
      </c>
      <c r="Q19" s="5"/>
    </row>
    <row r="20" spans="2:17" ht="11.25">
      <c r="B20" s="23" t="s">
        <v>21</v>
      </c>
      <c r="C20" s="24">
        <v>8237</v>
      </c>
      <c r="D20" s="24">
        <v>6247</v>
      </c>
      <c r="E20" s="27">
        <v>6665</v>
      </c>
      <c r="F20" s="25">
        <f>26+5147</f>
        <v>5173</v>
      </c>
      <c r="G20" s="24">
        <f>30+11134</f>
        <v>11164</v>
      </c>
      <c r="H20" s="24">
        <v>8126</v>
      </c>
      <c r="I20" s="24">
        <v>8097</v>
      </c>
      <c r="J20" s="24">
        <v>8082</v>
      </c>
      <c r="K20" s="26">
        <v>8024</v>
      </c>
      <c r="L20" s="27">
        <v>8013</v>
      </c>
      <c r="M20" s="27">
        <v>8017</v>
      </c>
      <c r="N20" s="27">
        <v>13058</v>
      </c>
      <c r="O20" s="7">
        <v>6524</v>
      </c>
      <c r="P20" s="7">
        <v>10813</v>
      </c>
      <c r="Q20" s="5"/>
    </row>
    <row r="21" spans="2:17" ht="11.25">
      <c r="B21" s="23" t="s">
        <v>16</v>
      </c>
      <c r="C21" s="27">
        <f>SUM(C22:C24)</f>
        <v>79179</v>
      </c>
      <c r="D21" s="27">
        <f>SUM(D22:D24)</f>
        <v>85364</v>
      </c>
      <c r="E21" s="27">
        <f>SUM(E22:E24)</f>
        <v>91880</v>
      </c>
      <c r="F21" s="25">
        <f>SUM(F22:F24)</f>
        <v>97324</v>
      </c>
      <c r="G21" s="24">
        <f aca="true" t="shared" si="3" ref="G21:P21">SUM(G23:G24)</f>
        <v>101942</v>
      </c>
      <c r="H21" s="24">
        <f t="shared" si="3"/>
        <v>117178</v>
      </c>
      <c r="I21" s="24">
        <f t="shared" si="3"/>
        <v>119780</v>
      </c>
      <c r="J21" s="24">
        <f t="shared" si="3"/>
        <v>130276</v>
      </c>
      <c r="K21" s="26">
        <f t="shared" si="3"/>
        <v>111046</v>
      </c>
      <c r="L21" s="27">
        <f t="shared" si="3"/>
        <v>112899</v>
      </c>
      <c r="M21" s="27">
        <f t="shared" si="3"/>
        <v>108414</v>
      </c>
      <c r="N21" s="27">
        <f t="shared" si="3"/>
        <v>114034</v>
      </c>
      <c r="O21" s="7">
        <f t="shared" si="3"/>
        <v>109692</v>
      </c>
      <c r="P21" s="7">
        <f t="shared" si="3"/>
        <v>123068</v>
      </c>
      <c r="Q21" s="5"/>
    </row>
    <row r="22" spans="2:17" ht="11.25">
      <c r="B22" s="23" t="s">
        <v>19</v>
      </c>
      <c r="C22" s="27">
        <v>53</v>
      </c>
      <c r="D22" s="27">
        <v>53</v>
      </c>
      <c r="E22" s="27">
        <v>53</v>
      </c>
      <c r="F22" s="25">
        <v>48</v>
      </c>
      <c r="G22" s="24">
        <v>0</v>
      </c>
      <c r="H22" s="24">
        <v>0</v>
      </c>
      <c r="I22" s="24">
        <v>0</v>
      </c>
      <c r="J22" s="24">
        <v>0</v>
      </c>
      <c r="K22" s="26">
        <v>0</v>
      </c>
      <c r="L22" s="27">
        <v>0</v>
      </c>
      <c r="M22" s="27">
        <v>0</v>
      </c>
      <c r="N22" s="27">
        <v>0</v>
      </c>
      <c r="O22" s="7"/>
      <c r="P22" s="7"/>
      <c r="Q22" s="5"/>
    </row>
    <row r="23" spans="2:17" ht="11.25">
      <c r="B23" s="23" t="s">
        <v>20</v>
      </c>
      <c r="C23" s="24">
        <v>79045</v>
      </c>
      <c r="D23" s="24">
        <v>85200</v>
      </c>
      <c r="E23" s="27">
        <v>88717</v>
      </c>
      <c r="F23" s="25">
        <v>94093</v>
      </c>
      <c r="G23" s="24">
        <f>2657+93131</f>
        <v>95788</v>
      </c>
      <c r="H23" s="24">
        <v>83209</v>
      </c>
      <c r="I23" s="24">
        <v>78911</v>
      </c>
      <c r="J23" s="24">
        <v>81623</v>
      </c>
      <c r="K23" s="26">
        <v>82088</v>
      </c>
      <c r="L23" s="27">
        <v>82442</v>
      </c>
      <c r="M23" s="27">
        <v>78107</v>
      </c>
      <c r="N23" s="27">
        <v>79684</v>
      </c>
      <c r="O23" s="7">
        <v>83703</v>
      </c>
      <c r="P23" s="7">
        <v>99949</v>
      </c>
      <c r="Q23" s="5"/>
    </row>
    <row r="24" spans="2:17" ht="11.25">
      <c r="B24" s="23" t="s">
        <v>21</v>
      </c>
      <c r="C24" s="24">
        <v>81</v>
      </c>
      <c r="D24" s="24">
        <v>111</v>
      </c>
      <c r="E24" s="27">
        <v>3110</v>
      </c>
      <c r="F24" s="25">
        <f>173+10+3000</f>
        <v>3183</v>
      </c>
      <c r="G24" s="24">
        <f>3023+121+10+3000</f>
        <v>6154</v>
      </c>
      <c r="H24" s="24">
        <v>33969</v>
      </c>
      <c r="I24" s="24">
        <v>40869</v>
      </c>
      <c r="J24" s="24">
        <v>48653</v>
      </c>
      <c r="K24" s="26">
        <v>28958</v>
      </c>
      <c r="L24" s="27">
        <v>30457</v>
      </c>
      <c r="M24" s="27">
        <v>30307</v>
      </c>
      <c r="N24" s="27">
        <v>34350</v>
      </c>
      <c r="O24" s="7">
        <v>25989</v>
      </c>
      <c r="P24" s="7">
        <v>23119</v>
      </c>
      <c r="Q24" s="5"/>
    </row>
    <row r="25" spans="1:17" ht="11.25">
      <c r="A25" s="28" t="s">
        <v>22</v>
      </c>
      <c r="B25" s="28"/>
      <c r="C25" s="29">
        <v>23832</v>
      </c>
      <c r="D25" s="29">
        <v>23268</v>
      </c>
      <c r="E25" s="29">
        <v>26926</v>
      </c>
      <c r="F25" s="30">
        <v>29957</v>
      </c>
      <c r="G25" s="29">
        <v>26707</v>
      </c>
      <c r="H25" s="29">
        <v>28577</v>
      </c>
      <c r="I25" s="29">
        <v>28485</v>
      </c>
      <c r="J25" s="29">
        <v>28187</v>
      </c>
      <c r="K25" s="31">
        <v>27552</v>
      </c>
      <c r="L25" s="29">
        <v>29249</v>
      </c>
      <c r="M25" s="29">
        <v>28861</v>
      </c>
      <c r="N25" s="29">
        <v>28324</v>
      </c>
      <c r="O25" s="7">
        <v>27241</v>
      </c>
      <c r="P25" s="7">
        <v>33675</v>
      </c>
      <c r="Q25" s="5"/>
    </row>
    <row r="26" spans="1:17" ht="11.25">
      <c r="A26" s="18" t="s">
        <v>23</v>
      </c>
      <c r="E26" s="34"/>
      <c r="F26" s="32"/>
      <c r="H26" s="24"/>
      <c r="J26" s="24"/>
      <c r="K26" s="26"/>
      <c r="L26" s="27"/>
      <c r="M26" s="27"/>
      <c r="N26" s="27"/>
      <c r="O26" s="7"/>
      <c r="P26" s="7"/>
      <c r="Q26" s="5"/>
    </row>
    <row r="27" spans="1:17" ht="11.25">
      <c r="A27" s="23" t="s">
        <v>12</v>
      </c>
      <c r="C27" s="27">
        <f aca="true" t="shared" si="4" ref="C27:K27">(C10+G10)/2</f>
        <v>205700</v>
      </c>
      <c r="D27" s="27">
        <f t="shared" si="4"/>
        <v>208207.5</v>
      </c>
      <c r="E27" s="27">
        <f t="shared" si="4"/>
        <v>216864.5</v>
      </c>
      <c r="F27" s="25">
        <f t="shared" si="4"/>
        <v>221503</v>
      </c>
      <c r="G27" s="24">
        <f t="shared" si="4"/>
        <v>214717</v>
      </c>
      <c r="H27" s="24">
        <f t="shared" si="4"/>
        <v>215360.5</v>
      </c>
      <c r="I27" s="24">
        <f t="shared" si="4"/>
        <v>223774</v>
      </c>
      <c r="J27" s="24">
        <f t="shared" si="4"/>
        <v>229552.5</v>
      </c>
      <c r="K27" s="26">
        <f t="shared" si="4"/>
        <v>213456.5</v>
      </c>
      <c r="L27" s="27">
        <f>(L10+261890)/2</f>
        <v>235537</v>
      </c>
      <c r="M27" s="27">
        <f>(M10+266952)/2</f>
        <v>242415.5</v>
      </c>
      <c r="N27" s="27">
        <f>(N10+272649)/2</f>
        <v>248482.5</v>
      </c>
      <c r="O27" s="7">
        <f>(O10+P10)/2</f>
        <v>244094.5</v>
      </c>
      <c r="P27" s="7">
        <f>(P10+247791)/2</f>
        <v>260143.5</v>
      </c>
      <c r="Q27" s="5"/>
    </row>
    <row r="28" spans="1:17" ht="11.25">
      <c r="A28" s="23" t="s">
        <v>24</v>
      </c>
      <c r="C28" s="27">
        <f aca="true" t="shared" si="5" ref="C28:P28">C29+C30</f>
        <v>162105.5</v>
      </c>
      <c r="D28" s="27">
        <f t="shared" si="5"/>
        <v>159263</v>
      </c>
      <c r="E28" s="27">
        <f t="shared" si="5"/>
        <v>159845</v>
      </c>
      <c r="F28" s="25">
        <f t="shared" si="5"/>
        <v>164344.5</v>
      </c>
      <c r="G28" s="24">
        <f t="shared" si="5"/>
        <v>161434</v>
      </c>
      <c r="H28" s="24">
        <f t="shared" si="5"/>
        <v>176360</v>
      </c>
      <c r="I28" s="24">
        <f t="shared" si="5"/>
        <v>180607</v>
      </c>
      <c r="J28" s="24">
        <f t="shared" si="5"/>
        <v>182821.5</v>
      </c>
      <c r="K28" s="26">
        <f t="shared" si="5"/>
        <v>169710</v>
      </c>
      <c r="L28" s="27">
        <f t="shared" si="5"/>
        <v>210011</v>
      </c>
      <c r="M28" s="27">
        <f t="shared" si="5"/>
        <v>216729.5</v>
      </c>
      <c r="N28" s="27">
        <f t="shared" si="5"/>
        <v>217410.5</v>
      </c>
      <c r="O28" s="7">
        <f t="shared" si="5"/>
        <v>214594.5</v>
      </c>
      <c r="P28" s="7">
        <f t="shared" si="5"/>
        <v>228471</v>
      </c>
      <c r="Q28" s="5"/>
    </row>
    <row r="29" spans="2:17" ht="11.25">
      <c r="B29" s="23" t="s">
        <v>14</v>
      </c>
      <c r="C29" s="27">
        <f aca="true" t="shared" si="6" ref="C29:K29">(C12+G12)/2</f>
        <v>141816.5</v>
      </c>
      <c r="D29" s="27">
        <f t="shared" si="6"/>
        <v>141598</v>
      </c>
      <c r="E29" s="27">
        <f t="shared" si="6"/>
        <v>143376.5</v>
      </c>
      <c r="F29" s="25">
        <f t="shared" si="6"/>
        <v>147397</v>
      </c>
      <c r="G29" s="24">
        <f t="shared" si="6"/>
        <v>149204.5</v>
      </c>
      <c r="H29" s="24">
        <f t="shared" si="6"/>
        <v>167905</v>
      </c>
      <c r="I29" s="24">
        <f t="shared" si="6"/>
        <v>173693</v>
      </c>
      <c r="J29" s="24">
        <f t="shared" si="6"/>
        <v>177292</v>
      </c>
      <c r="K29" s="26">
        <f t="shared" si="6"/>
        <v>162413.5</v>
      </c>
      <c r="L29" s="27">
        <f>(L12+221114)/2</f>
        <v>201383</v>
      </c>
      <c r="M29" s="27">
        <f>(M12+240257)/2</f>
        <v>213302.5</v>
      </c>
      <c r="N29" s="27">
        <f>(N12+239669)/2</f>
        <v>213991</v>
      </c>
      <c r="O29" s="7">
        <f>(O12+P12)/2</f>
        <v>211084</v>
      </c>
      <c r="P29" s="7">
        <f>(P12+208990)/2</f>
        <v>226561</v>
      </c>
      <c r="Q29" s="5"/>
    </row>
    <row r="30" spans="2:17" ht="11.25">
      <c r="B30" s="23" t="s">
        <v>17</v>
      </c>
      <c r="C30" s="27">
        <f aca="true" t="shared" si="7" ref="C30:K30">(C15+G15)/2</f>
        <v>20289</v>
      </c>
      <c r="D30" s="27">
        <f t="shared" si="7"/>
        <v>17665</v>
      </c>
      <c r="E30" s="27">
        <f t="shared" si="7"/>
        <v>16468.5</v>
      </c>
      <c r="F30" s="25">
        <f t="shared" si="7"/>
        <v>16947.5</v>
      </c>
      <c r="G30" s="24">
        <f t="shared" si="7"/>
        <v>12229.5</v>
      </c>
      <c r="H30" s="24">
        <f t="shared" si="7"/>
        <v>8455</v>
      </c>
      <c r="I30" s="24">
        <f t="shared" si="7"/>
        <v>6914</v>
      </c>
      <c r="J30" s="24">
        <f t="shared" si="7"/>
        <v>5529.5</v>
      </c>
      <c r="K30" s="26">
        <f t="shared" si="7"/>
        <v>7296.5</v>
      </c>
      <c r="L30" s="27">
        <f>(L15+11771)/2</f>
        <v>8628</v>
      </c>
      <c r="M30" s="27">
        <f>(M15+1457)/2</f>
        <v>3427</v>
      </c>
      <c r="N30" s="27">
        <f>(N15+1539)/2</f>
        <v>3419.5</v>
      </c>
      <c r="O30" s="7">
        <f>(O15+P15)/2</f>
        <v>3510.5</v>
      </c>
      <c r="P30" s="7">
        <f>(P15+2180)/2</f>
        <v>1910</v>
      </c>
      <c r="Q30" s="5"/>
    </row>
    <row r="31" spans="1:17" ht="11.25">
      <c r="A31" s="28" t="s">
        <v>22</v>
      </c>
      <c r="B31" s="28"/>
      <c r="C31" s="29">
        <f aca="true" t="shared" si="8" ref="C31:K31">(C25+G25)/2</f>
        <v>25269.5</v>
      </c>
      <c r="D31" s="29">
        <f t="shared" si="8"/>
        <v>25922.5</v>
      </c>
      <c r="E31" s="29">
        <f t="shared" si="8"/>
        <v>27705.5</v>
      </c>
      <c r="F31" s="30">
        <f t="shared" si="8"/>
        <v>29072</v>
      </c>
      <c r="G31" s="29">
        <f t="shared" si="8"/>
        <v>27129.5</v>
      </c>
      <c r="H31" s="29">
        <f t="shared" si="8"/>
        <v>28913</v>
      </c>
      <c r="I31" s="29">
        <f t="shared" si="8"/>
        <v>28673</v>
      </c>
      <c r="J31" s="29">
        <f t="shared" si="8"/>
        <v>28255.5</v>
      </c>
      <c r="K31" s="31">
        <f t="shared" si="8"/>
        <v>27396.5</v>
      </c>
      <c r="L31" s="29">
        <f>(L25+31625)/2</f>
        <v>30437</v>
      </c>
      <c r="M31" s="29">
        <f>(M25+30986)/2</f>
        <v>29923.5</v>
      </c>
      <c r="N31" s="29">
        <f>(N25+30415)/2</f>
        <v>29369.5</v>
      </c>
      <c r="O31" s="7">
        <f>(O25+P25)/2</f>
        <v>30458</v>
      </c>
      <c r="P31" s="7">
        <f>(P25+29781)/2</f>
        <v>31728</v>
      </c>
      <c r="Q31" s="5"/>
    </row>
    <row r="32" spans="1:17" ht="11.25">
      <c r="A32" s="18" t="s">
        <v>25</v>
      </c>
      <c r="E32" s="34"/>
      <c r="F32" s="32"/>
      <c r="H32" s="24"/>
      <c r="J32" s="24"/>
      <c r="K32" s="33"/>
      <c r="L32" s="34"/>
      <c r="M32" s="34"/>
      <c r="N32" s="34"/>
      <c r="O32" s="5"/>
      <c r="P32" s="5"/>
      <c r="Q32" s="5"/>
    </row>
    <row r="33" spans="1:17" ht="11.25">
      <c r="A33" s="23" t="s">
        <v>26</v>
      </c>
      <c r="C33" s="24">
        <v>10417</v>
      </c>
      <c r="D33" s="24">
        <v>7805</v>
      </c>
      <c r="E33" s="27">
        <v>5202</v>
      </c>
      <c r="F33" s="35">
        <v>2716</v>
      </c>
      <c r="G33" s="36">
        <v>14050</v>
      </c>
      <c r="H33" s="24">
        <f>I33+3318</f>
        <v>10908</v>
      </c>
      <c r="I33" s="24">
        <f>J33+3645</f>
        <v>7590</v>
      </c>
      <c r="J33" s="24">
        <v>3945</v>
      </c>
      <c r="K33" s="26">
        <f>3474+L33</f>
        <v>15784</v>
      </c>
      <c r="L33" s="27">
        <f>4096+M33</f>
        <v>12310</v>
      </c>
      <c r="M33" s="27">
        <f>3985+N33</f>
        <v>8214</v>
      </c>
      <c r="N33" s="27">
        <v>4229</v>
      </c>
      <c r="O33" s="7">
        <v>19987</v>
      </c>
      <c r="P33" s="7">
        <v>21010</v>
      </c>
      <c r="Q33" s="5"/>
    </row>
    <row r="34" spans="1:17" ht="11.25">
      <c r="A34" s="23" t="s">
        <v>27</v>
      </c>
      <c r="C34" s="24">
        <v>6521</v>
      </c>
      <c r="D34" s="24">
        <v>4923</v>
      </c>
      <c r="E34" s="27">
        <v>3418</v>
      </c>
      <c r="F34" s="35">
        <v>1778</v>
      </c>
      <c r="G34" s="36">
        <v>11101</v>
      </c>
      <c r="H34" s="24">
        <f>I34+2367</f>
        <v>8048</v>
      </c>
      <c r="I34" s="24">
        <f>J34+2822</f>
        <v>5681</v>
      </c>
      <c r="J34" s="24">
        <v>2859</v>
      </c>
      <c r="K34" s="26">
        <f>2873+L34</f>
        <v>11734</v>
      </c>
      <c r="L34" s="27">
        <f>2906+M34</f>
        <v>8861</v>
      </c>
      <c r="M34" s="27">
        <f>3096+N34</f>
        <v>5955</v>
      </c>
      <c r="N34" s="27">
        <v>2859</v>
      </c>
      <c r="O34" s="7">
        <v>14141</v>
      </c>
      <c r="P34" s="7">
        <v>14296</v>
      </c>
      <c r="Q34" s="5"/>
    </row>
    <row r="35" spans="1:17" ht="11.25">
      <c r="A35" s="23" t="s">
        <v>28</v>
      </c>
      <c r="C35" s="27">
        <f aca="true" t="shared" si="9" ref="C35:P35">C33-C34</f>
        <v>3896</v>
      </c>
      <c r="D35" s="27">
        <f t="shared" si="9"/>
        <v>2882</v>
      </c>
      <c r="E35" s="27">
        <f t="shared" si="9"/>
        <v>1784</v>
      </c>
      <c r="F35" s="25">
        <f t="shared" si="9"/>
        <v>938</v>
      </c>
      <c r="G35" s="24">
        <f t="shared" si="9"/>
        <v>2949</v>
      </c>
      <c r="H35" s="24">
        <f t="shared" si="9"/>
        <v>2860</v>
      </c>
      <c r="I35" s="24">
        <f t="shared" si="9"/>
        <v>1909</v>
      </c>
      <c r="J35" s="24">
        <f t="shared" si="9"/>
        <v>1086</v>
      </c>
      <c r="K35" s="26">
        <f t="shared" si="9"/>
        <v>4050</v>
      </c>
      <c r="L35" s="27">
        <f t="shared" si="9"/>
        <v>3449</v>
      </c>
      <c r="M35" s="27">
        <f t="shared" si="9"/>
        <v>2259</v>
      </c>
      <c r="N35" s="27">
        <f t="shared" si="9"/>
        <v>1370</v>
      </c>
      <c r="O35" s="7">
        <f t="shared" si="9"/>
        <v>5846</v>
      </c>
      <c r="P35" s="7">
        <f t="shared" si="9"/>
        <v>6714</v>
      </c>
      <c r="Q35" s="5"/>
    </row>
    <row r="36" spans="1:17" ht="11.25">
      <c r="A36" s="23" t="s">
        <v>29</v>
      </c>
      <c r="C36" s="24">
        <v>1997</v>
      </c>
      <c r="D36" s="24">
        <v>1483</v>
      </c>
      <c r="E36" s="27">
        <v>914</v>
      </c>
      <c r="F36" s="35">
        <v>341</v>
      </c>
      <c r="G36" s="36">
        <v>3967</v>
      </c>
      <c r="H36" s="24">
        <f>I36+407</f>
        <v>1111</v>
      </c>
      <c r="I36" s="24">
        <f>J36+355</f>
        <v>704</v>
      </c>
      <c r="J36" s="24">
        <v>349</v>
      </c>
      <c r="K36" s="26">
        <f>5034+L36</f>
        <v>5928</v>
      </c>
      <c r="L36" s="27">
        <f>267+M36</f>
        <v>894</v>
      </c>
      <c r="M36" s="27">
        <f>407+N36</f>
        <v>627</v>
      </c>
      <c r="N36" s="27">
        <v>220</v>
      </c>
      <c r="O36" s="7">
        <v>1880</v>
      </c>
      <c r="P36" s="7">
        <v>1079</v>
      </c>
      <c r="Q36" s="5"/>
    </row>
    <row r="37" spans="1:17" ht="11.25">
      <c r="A37" s="23" t="s">
        <v>30</v>
      </c>
      <c r="C37" s="27">
        <f aca="true" t="shared" si="10" ref="C37:P37">C35+C36</f>
        <v>5893</v>
      </c>
      <c r="D37" s="27">
        <f t="shared" si="10"/>
        <v>4365</v>
      </c>
      <c r="E37" s="27">
        <f t="shared" si="10"/>
        <v>2698</v>
      </c>
      <c r="F37" s="25">
        <f t="shared" si="10"/>
        <v>1279</v>
      </c>
      <c r="G37" s="24">
        <f t="shared" si="10"/>
        <v>6916</v>
      </c>
      <c r="H37" s="24">
        <f t="shared" si="10"/>
        <v>3971</v>
      </c>
      <c r="I37" s="24">
        <f t="shared" si="10"/>
        <v>2613</v>
      </c>
      <c r="J37" s="24">
        <f t="shared" si="10"/>
        <v>1435</v>
      </c>
      <c r="K37" s="26">
        <f t="shared" si="10"/>
        <v>9978</v>
      </c>
      <c r="L37" s="27">
        <f t="shared" si="10"/>
        <v>4343</v>
      </c>
      <c r="M37" s="27">
        <f t="shared" si="10"/>
        <v>2886</v>
      </c>
      <c r="N37" s="27">
        <f t="shared" si="10"/>
        <v>1590</v>
      </c>
      <c r="O37" s="7">
        <f t="shared" si="10"/>
        <v>7726</v>
      </c>
      <c r="P37" s="7">
        <f t="shared" si="10"/>
        <v>7793</v>
      </c>
      <c r="Q37" s="5"/>
    </row>
    <row r="38" spans="1:17" ht="11.25">
      <c r="A38" s="23" t="s">
        <v>31</v>
      </c>
      <c r="C38" s="24">
        <v>4429</v>
      </c>
      <c r="D38" s="24">
        <v>3391</v>
      </c>
      <c r="E38" s="27">
        <v>2233</v>
      </c>
      <c r="F38" s="35">
        <v>1095</v>
      </c>
      <c r="G38" s="36">
        <v>3699</v>
      </c>
      <c r="H38" s="24">
        <f>I38+1267</f>
        <v>3015</v>
      </c>
      <c r="I38" s="24">
        <f>J38+880</f>
        <v>1748</v>
      </c>
      <c r="J38" s="24">
        <v>868</v>
      </c>
      <c r="K38" s="26">
        <f>1245+L38</f>
        <v>4025</v>
      </c>
      <c r="L38" s="27">
        <f>1067+M38</f>
        <v>2780</v>
      </c>
      <c r="M38" s="27">
        <f>941+N38</f>
        <v>1713</v>
      </c>
      <c r="N38" s="27">
        <v>772</v>
      </c>
      <c r="O38" s="7">
        <v>6892</v>
      </c>
      <c r="P38" s="7">
        <v>3898</v>
      </c>
      <c r="Q38" s="5"/>
    </row>
    <row r="39" spans="1:17" ht="11.25">
      <c r="A39" s="23" t="s">
        <v>32</v>
      </c>
      <c r="C39" s="27">
        <f aca="true" t="shared" si="11" ref="C39:P39">C37-C38</f>
        <v>1464</v>
      </c>
      <c r="D39" s="27">
        <f t="shared" si="11"/>
        <v>974</v>
      </c>
      <c r="E39" s="27">
        <f t="shared" si="11"/>
        <v>465</v>
      </c>
      <c r="F39" s="25">
        <f t="shared" si="11"/>
        <v>184</v>
      </c>
      <c r="G39" s="24">
        <f t="shared" si="11"/>
        <v>3217</v>
      </c>
      <c r="H39" s="24">
        <f t="shared" si="11"/>
        <v>956</v>
      </c>
      <c r="I39" s="24">
        <f t="shared" si="11"/>
        <v>865</v>
      </c>
      <c r="J39" s="24">
        <f t="shared" si="11"/>
        <v>567</v>
      </c>
      <c r="K39" s="26">
        <f t="shared" si="11"/>
        <v>5953</v>
      </c>
      <c r="L39" s="27">
        <f t="shared" si="11"/>
        <v>1563</v>
      </c>
      <c r="M39" s="27">
        <f t="shared" si="11"/>
        <v>1173</v>
      </c>
      <c r="N39" s="27">
        <f t="shared" si="11"/>
        <v>818</v>
      </c>
      <c r="O39" s="7">
        <f t="shared" si="11"/>
        <v>834</v>
      </c>
      <c r="P39" s="7">
        <f t="shared" si="11"/>
        <v>3895</v>
      </c>
      <c r="Q39" s="5"/>
    </row>
    <row r="40" spans="1:17" ht="11.25">
      <c r="A40" s="28" t="s">
        <v>33</v>
      </c>
      <c r="B40" s="28"/>
      <c r="C40" s="29">
        <v>-797</v>
      </c>
      <c r="D40" s="29">
        <v>460</v>
      </c>
      <c r="E40" s="29">
        <v>465</v>
      </c>
      <c r="F40" s="30">
        <v>184</v>
      </c>
      <c r="G40" s="29">
        <v>-914</v>
      </c>
      <c r="H40" s="29">
        <f>I40+92</f>
        <v>956</v>
      </c>
      <c r="I40" s="29">
        <f>J40+298</f>
        <v>864</v>
      </c>
      <c r="J40" s="29">
        <v>566</v>
      </c>
      <c r="K40" s="31">
        <f>-1697+L40</f>
        <v>-134</v>
      </c>
      <c r="L40" s="29">
        <f>390+M40</f>
        <v>1563</v>
      </c>
      <c r="M40" s="29">
        <f>355+N40</f>
        <v>1173</v>
      </c>
      <c r="N40" s="29">
        <v>818</v>
      </c>
      <c r="O40" s="8">
        <v>834</v>
      </c>
      <c r="P40" s="7">
        <v>3895</v>
      </c>
      <c r="Q40" s="5"/>
    </row>
    <row r="41" spans="1:17" ht="11.25">
      <c r="A41" s="18" t="s">
        <v>34</v>
      </c>
      <c r="E41" s="27"/>
      <c r="F41" s="32"/>
      <c r="H41" s="24"/>
      <c r="I41" s="24"/>
      <c r="K41" s="26"/>
      <c r="L41" s="27"/>
      <c r="M41" s="27"/>
      <c r="N41" s="27"/>
      <c r="O41" s="7"/>
      <c r="P41" s="7"/>
      <c r="Q41" s="5"/>
    </row>
    <row r="42" spans="1:17" ht="11.25">
      <c r="A42" s="23" t="s">
        <v>35</v>
      </c>
      <c r="C42" s="24">
        <v>27226</v>
      </c>
      <c r="D42" s="24">
        <v>29702</v>
      </c>
      <c r="E42" s="27">
        <v>29892</v>
      </c>
      <c r="F42" s="25">
        <v>33125</v>
      </c>
      <c r="G42" s="24">
        <v>26587</v>
      </c>
      <c r="H42" s="24">
        <v>30312</v>
      </c>
      <c r="I42" s="24">
        <v>30658</v>
      </c>
      <c r="J42" s="24">
        <v>28308</v>
      </c>
      <c r="K42" s="26">
        <v>24909</v>
      </c>
      <c r="L42" s="27">
        <v>54332</v>
      </c>
      <c r="M42" s="27">
        <v>48185</v>
      </c>
      <c r="N42" s="27">
        <v>22911</v>
      </c>
      <c r="O42" s="7">
        <v>10503</v>
      </c>
      <c r="P42" s="7">
        <v>9022</v>
      </c>
      <c r="Q42" s="5"/>
    </row>
    <row r="43" spans="1:17" ht="11.25">
      <c r="A43" s="23" t="s">
        <v>36</v>
      </c>
      <c r="C43" s="24">
        <v>6476</v>
      </c>
      <c r="D43" s="24">
        <v>6472</v>
      </c>
      <c r="E43" s="27">
        <v>6003</v>
      </c>
      <c r="F43" s="25">
        <v>6123</v>
      </c>
      <c r="G43" s="24">
        <v>8152</v>
      </c>
      <c r="H43" s="24">
        <v>4909</v>
      </c>
      <c r="I43" s="24">
        <v>4894</v>
      </c>
      <c r="J43" s="24">
        <v>4890</v>
      </c>
      <c r="K43" s="26">
        <v>4980</v>
      </c>
      <c r="L43" s="27">
        <v>8534</v>
      </c>
      <c r="M43" s="27">
        <v>10191</v>
      </c>
      <c r="N43" s="27">
        <v>9853</v>
      </c>
      <c r="O43" s="7">
        <v>9843</v>
      </c>
      <c r="P43" s="7">
        <v>9030</v>
      </c>
      <c r="Q43" s="5"/>
    </row>
    <row r="44" spans="1:17" ht="11.25">
      <c r="A44" s="23" t="s">
        <v>37</v>
      </c>
      <c r="C44" s="40">
        <f aca="true" t="shared" si="12" ref="C44:P44">C42/C12</f>
        <v>0.2062341400598417</v>
      </c>
      <c r="D44" s="40">
        <f t="shared" si="12"/>
        <v>0.23018025697856445</v>
      </c>
      <c r="E44" s="40">
        <f t="shared" si="12"/>
        <v>0.23777592172771744</v>
      </c>
      <c r="F44" s="37">
        <f t="shared" si="12"/>
        <v>0.257735969437377</v>
      </c>
      <c r="G44" s="38">
        <f t="shared" si="12"/>
        <v>0.17535516891134298</v>
      </c>
      <c r="H44" s="38">
        <f t="shared" si="12"/>
        <v>0.19662943214105008</v>
      </c>
      <c r="I44" s="38">
        <f t="shared" si="12"/>
        <v>0.19037742644593203</v>
      </c>
      <c r="J44" s="38">
        <f t="shared" si="12"/>
        <v>0.17025217867216771</v>
      </c>
      <c r="K44" s="39">
        <f t="shared" si="12"/>
        <v>0.16969023986484186</v>
      </c>
      <c r="L44" s="40">
        <f t="shared" si="12"/>
        <v>0.299099376830423</v>
      </c>
      <c r="M44" s="40">
        <f t="shared" si="12"/>
        <v>0.2585753536394273</v>
      </c>
      <c r="N44" s="40">
        <f t="shared" si="12"/>
        <v>0.12166446288891367</v>
      </c>
      <c r="O44" s="9">
        <f t="shared" si="12"/>
        <v>0.058993686670111664</v>
      </c>
      <c r="P44" s="9">
        <f t="shared" si="12"/>
        <v>0.0369554175609916</v>
      </c>
      <c r="Q44" s="5"/>
    </row>
    <row r="45" spans="1:17" ht="11.25">
      <c r="A45" s="23" t="s">
        <v>38</v>
      </c>
      <c r="C45" s="40">
        <f aca="true" t="shared" si="13" ref="C45:P45">C43/C42</f>
        <v>0.2378608682876662</v>
      </c>
      <c r="D45" s="40">
        <f t="shared" si="13"/>
        <v>0.2178977846609656</v>
      </c>
      <c r="E45" s="40">
        <f t="shared" si="13"/>
        <v>0.20082296266559616</v>
      </c>
      <c r="F45" s="37">
        <f t="shared" si="13"/>
        <v>0.18484528301886793</v>
      </c>
      <c r="G45" s="38">
        <f t="shared" si="13"/>
        <v>0.3066160153458457</v>
      </c>
      <c r="H45" s="38">
        <f t="shared" si="13"/>
        <v>0.16194906307732912</v>
      </c>
      <c r="I45" s="38">
        <f t="shared" si="13"/>
        <v>0.1596320699328071</v>
      </c>
      <c r="J45" s="38">
        <f t="shared" si="13"/>
        <v>0.17274268757948283</v>
      </c>
      <c r="K45" s="39">
        <f t="shared" si="13"/>
        <v>0.19992773696254365</v>
      </c>
      <c r="L45" s="40">
        <f t="shared" si="13"/>
        <v>0.15707133917396746</v>
      </c>
      <c r="M45" s="40">
        <f t="shared" si="13"/>
        <v>0.21149735394832417</v>
      </c>
      <c r="N45" s="40">
        <f t="shared" si="13"/>
        <v>0.43005543188861245</v>
      </c>
      <c r="O45" s="9">
        <f t="shared" si="13"/>
        <v>0.937160811196801</v>
      </c>
      <c r="P45" s="9">
        <f t="shared" si="13"/>
        <v>1.0008867213478165</v>
      </c>
      <c r="Q45" s="5"/>
    </row>
    <row r="46" spans="1:17" ht="11.25">
      <c r="A46" s="28" t="s">
        <v>39</v>
      </c>
      <c r="B46" s="28"/>
      <c r="C46" s="42">
        <f aca="true" t="shared" si="14" ref="C46:P46">C43/C12</f>
        <v>0.049055031625194104</v>
      </c>
      <c r="D46" s="42">
        <f t="shared" si="14"/>
        <v>0.050155768068320956</v>
      </c>
      <c r="E46" s="42">
        <f t="shared" si="14"/>
        <v>0.04775086505190312</v>
      </c>
      <c r="F46" s="41">
        <f t="shared" si="14"/>
        <v>0.04764127821479424</v>
      </c>
      <c r="G46" s="42">
        <f t="shared" si="14"/>
        <v>0.053766703161893706</v>
      </c>
      <c r="H46" s="42">
        <f t="shared" si="14"/>
        <v>0.03184395230867033</v>
      </c>
      <c r="I46" s="42">
        <f t="shared" si="14"/>
        <v>0.03039034265204486</v>
      </c>
      <c r="J46" s="42">
        <f t="shared" si="14"/>
        <v>0.02940981891009256</v>
      </c>
      <c r="K46" s="43">
        <f t="shared" si="14"/>
        <v>0.033925785640809045</v>
      </c>
      <c r="L46" s="42">
        <f t="shared" si="14"/>
        <v>0.04697993966485368</v>
      </c>
      <c r="M46" s="42">
        <f t="shared" si="14"/>
        <v>0.05468800309099105</v>
      </c>
      <c r="N46" s="42">
        <f t="shared" si="14"/>
        <v>0.05232246313318783</v>
      </c>
      <c r="O46" s="9">
        <f t="shared" si="14"/>
        <v>0.05528657125525175</v>
      </c>
      <c r="P46" s="9">
        <f t="shared" si="14"/>
        <v>0.036988186718660394</v>
      </c>
      <c r="Q46" s="5"/>
    </row>
    <row r="47" spans="1:17" ht="11.25">
      <c r="A47" s="18" t="s">
        <v>40</v>
      </c>
      <c r="E47" s="34"/>
      <c r="F47" s="32"/>
      <c r="K47" s="33"/>
      <c r="L47" s="34"/>
      <c r="M47" s="34"/>
      <c r="N47" s="34"/>
      <c r="O47" s="5"/>
      <c r="P47" s="5"/>
      <c r="Q47" s="5"/>
    </row>
    <row r="48" spans="1:17" ht="11.25">
      <c r="A48" s="23" t="s">
        <v>41</v>
      </c>
      <c r="C48" s="40">
        <f aca="true" t="shared" si="15" ref="C48:P48">C25/(C12+C15)</f>
        <v>0.15146238226583453</v>
      </c>
      <c r="D48" s="40">
        <f t="shared" si="15"/>
        <v>0.15213510915831388</v>
      </c>
      <c r="E48" s="40">
        <f t="shared" si="15"/>
        <v>0.17924258259497675</v>
      </c>
      <c r="F48" s="37">
        <f t="shared" si="15"/>
        <v>0.19122425139953658</v>
      </c>
      <c r="G48" s="38">
        <f t="shared" si="15"/>
        <v>0.16005153866898392</v>
      </c>
      <c r="H48" s="38">
        <f t="shared" si="15"/>
        <v>0.17258414209188142</v>
      </c>
      <c r="I48" s="38">
        <f t="shared" si="15"/>
        <v>0.16808383834211565</v>
      </c>
      <c r="J48" s="40">
        <f t="shared" si="15"/>
        <v>0.1638493286054758</v>
      </c>
      <c r="K48" s="39">
        <f t="shared" si="15"/>
        <v>0.17661198823099555</v>
      </c>
      <c r="L48" s="40">
        <f t="shared" si="15"/>
        <v>0.15629725815846146</v>
      </c>
      <c r="M48" s="40">
        <f t="shared" si="15"/>
        <v>0.15051761454014445</v>
      </c>
      <c r="N48" s="40">
        <f t="shared" si="15"/>
        <v>0.14629182957755935</v>
      </c>
      <c r="O48" s="9">
        <f t="shared" si="15"/>
        <v>0.14851949383099713</v>
      </c>
      <c r="P48" s="9">
        <f t="shared" si="15"/>
        <v>0.1370172354865485</v>
      </c>
      <c r="Q48" s="5"/>
    </row>
    <row r="49" spans="1:17" ht="11.25">
      <c r="A49" s="28" t="s">
        <v>42</v>
      </c>
      <c r="B49" s="28"/>
      <c r="C49" s="42">
        <f>C25/C10</f>
        <v>0.12336297661321213</v>
      </c>
      <c r="D49" s="42">
        <f>D25/D10</f>
        <v>0.11939777707078275</v>
      </c>
      <c r="E49" s="42">
        <f>E25/E10</f>
        <v>0.13195138684700577</v>
      </c>
      <c r="F49" s="41">
        <f>F25/F12</f>
        <v>0.23308668487352457</v>
      </c>
      <c r="G49" s="42">
        <f>G25/G12</f>
        <v>0.17614663166642483</v>
      </c>
      <c r="H49" s="42">
        <f aca="true" t="shared" si="16" ref="H49:P49">H25/H10</f>
        <v>0.12899425378153537</v>
      </c>
      <c r="I49" s="42">
        <f t="shared" si="16"/>
        <v>0.12402631613321781</v>
      </c>
      <c r="J49" s="42">
        <f t="shared" si="16"/>
        <v>0.12005247264565205</v>
      </c>
      <c r="K49" s="43">
        <f t="shared" si="16"/>
        <v>0.13044219297415016</v>
      </c>
      <c r="L49" s="42">
        <f t="shared" si="16"/>
        <v>0.13982426954260363</v>
      </c>
      <c r="M49" s="42">
        <f t="shared" si="16"/>
        <v>0.13246343153768836</v>
      </c>
      <c r="N49" s="42">
        <f t="shared" si="16"/>
        <v>0.12626830007667755</v>
      </c>
      <c r="O49" s="9">
        <f t="shared" si="16"/>
        <v>0.12629524370285544</v>
      </c>
      <c r="P49" s="9">
        <f t="shared" si="16"/>
        <v>0.12357979566672539</v>
      </c>
      <c r="Q49" s="5"/>
    </row>
    <row r="50" spans="1:17" ht="11.25">
      <c r="A50" s="18" t="s">
        <v>43</v>
      </c>
      <c r="E50" s="34"/>
      <c r="F50" s="32"/>
      <c r="J50" s="44"/>
      <c r="K50" s="45"/>
      <c r="L50" s="46"/>
      <c r="M50" s="46"/>
      <c r="N50" s="46"/>
      <c r="O50" s="10"/>
      <c r="P50" s="10"/>
      <c r="Q50" s="5"/>
    </row>
    <row r="51" spans="1:17" ht="11.25">
      <c r="A51" s="23" t="s">
        <v>44</v>
      </c>
      <c r="C51" s="46">
        <f aca="true" t="shared" si="17" ref="C51:P51">C11/C16</f>
        <v>0.10643274042098397</v>
      </c>
      <c r="D51" s="46">
        <f t="shared" si="17"/>
        <v>0.1248757060236074</v>
      </c>
      <c r="E51" s="46">
        <f t="shared" si="17"/>
        <v>0.1458861443533966</v>
      </c>
      <c r="F51" s="47">
        <f t="shared" si="17"/>
        <v>0.12162205688150224</v>
      </c>
      <c r="G51" s="44">
        <f t="shared" si="17"/>
        <v>0.10817129084286257</v>
      </c>
      <c r="H51" s="44">
        <f t="shared" si="17"/>
        <v>0.11734188499826656</v>
      </c>
      <c r="I51" s="44">
        <f t="shared" si="17"/>
        <v>0.1242951660010729</v>
      </c>
      <c r="J51" s="44">
        <f t="shared" si="17"/>
        <v>0.11498384882270166</v>
      </c>
      <c r="K51" s="45">
        <f t="shared" si="17"/>
        <v>0.12816774467182696</v>
      </c>
      <c r="L51" s="46">
        <f t="shared" si="17"/>
        <v>0.04388786764705882</v>
      </c>
      <c r="M51" s="46">
        <f t="shared" si="17"/>
        <v>0.06976323390452958</v>
      </c>
      <c r="N51" s="46">
        <f t="shared" si="17"/>
        <v>0.04714616937373838</v>
      </c>
      <c r="O51" s="10">
        <f t="shared" si="17"/>
        <v>0.09761076316399907</v>
      </c>
      <c r="P51" s="10">
        <f t="shared" si="17"/>
        <v>0.06153670575480042</v>
      </c>
      <c r="Q51" s="5"/>
    </row>
    <row r="52" spans="1:17" ht="11.25">
      <c r="A52" s="23" t="s">
        <v>45</v>
      </c>
      <c r="C52" s="46">
        <f aca="true" t="shared" si="18" ref="C52:P52">C11/C10</f>
        <v>0.07938463449732382</v>
      </c>
      <c r="D52" s="46">
        <f t="shared" si="18"/>
        <v>0.09473106251090425</v>
      </c>
      <c r="E52" s="46">
        <f t="shared" si="18"/>
        <v>0.10914436930314614</v>
      </c>
      <c r="F52" s="47">
        <f t="shared" si="18"/>
        <v>0.090674632714908</v>
      </c>
      <c r="G52" s="44">
        <f t="shared" si="18"/>
        <v>0.08206164590722868</v>
      </c>
      <c r="H52" s="44">
        <f t="shared" si="18"/>
        <v>0.08555681443731747</v>
      </c>
      <c r="I52" s="44">
        <f t="shared" si="18"/>
        <v>0.09079588451205865</v>
      </c>
      <c r="J52" s="44">
        <f t="shared" si="18"/>
        <v>0.08596228954508091</v>
      </c>
      <c r="K52" s="45">
        <f t="shared" si="18"/>
        <v>0.09156329893002557</v>
      </c>
      <c r="L52" s="46">
        <f t="shared" si="18"/>
        <v>0.031957511090714395</v>
      </c>
      <c r="M52" s="46">
        <f t="shared" si="18"/>
        <v>0.04777881301089137</v>
      </c>
      <c r="N52" s="46">
        <f t="shared" si="18"/>
        <v>0.03363112751653917</v>
      </c>
      <c r="O52" s="10">
        <f t="shared" si="18"/>
        <v>0.06828223447214328</v>
      </c>
      <c r="P52" s="10">
        <f t="shared" si="18"/>
        <v>0.039574892842463745</v>
      </c>
      <c r="Q52" s="5"/>
    </row>
    <row r="53" spans="1:17" ht="11.25">
      <c r="A53" s="28" t="s">
        <v>46</v>
      </c>
      <c r="B53" s="28"/>
      <c r="C53" s="49">
        <f aca="true" t="shared" si="19" ref="C53:P53">(C11+C15)/C16</f>
        <v>0.28223136767737056</v>
      </c>
      <c r="D53" s="49">
        <f t="shared" si="19"/>
        <v>0.28657625054959923</v>
      </c>
      <c r="E53" s="49">
        <f t="shared" si="19"/>
        <v>0.3064054445295971</v>
      </c>
      <c r="F53" s="48">
        <f t="shared" si="19"/>
        <v>0.3028698424968596</v>
      </c>
      <c r="G53" s="49">
        <f t="shared" si="19"/>
        <v>0.20027424898666812</v>
      </c>
      <c r="H53" s="49">
        <f t="shared" si="19"/>
        <v>0.18807265613392105</v>
      </c>
      <c r="I53" s="49">
        <f t="shared" si="19"/>
        <v>0.17454848900280145</v>
      </c>
      <c r="J53" s="49">
        <f t="shared" si="19"/>
        <v>0.14779324214232406</v>
      </c>
      <c r="K53" s="50">
        <f t="shared" si="19"/>
        <v>0.18921641395398156</v>
      </c>
      <c r="L53" s="49">
        <f t="shared" si="19"/>
        <v>0.07989758403361344</v>
      </c>
      <c r="M53" s="49">
        <f t="shared" si="19"/>
        <v>0.10593155027174823</v>
      </c>
      <c r="N53" s="49">
        <f t="shared" si="19"/>
        <v>0.08026847818614738</v>
      </c>
      <c r="O53" s="10">
        <f t="shared" si="19"/>
        <v>0.1332736852569838</v>
      </c>
      <c r="P53" s="10">
        <f t="shared" si="19"/>
        <v>0.07089503266854974</v>
      </c>
      <c r="Q53" s="5"/>
    </row>
    <row r="54" spans="1:17" ht="11.25">
      <c r="A54" s="18" t="s">
        <v>47</v>
      </c>
      <c r="E54" s="34"/>
      <c r="F54" s="32"/>
      <c r="K54" s="33"/>
      <c r="L54" s="34"/>
      <c r="M54" s="34"/>
      <c r="N54" s="34"/>
      <c r="O54" s="5"/>
      <c r="P54" s="5"/>
      <c r="Q54" s="5"/>
    </row>
    <row r="55" spans="1:17" ht="11.25">
      <c r="A55" s="23" t="s">
        <v>48</v>
      </c>
      <c r="B55" s="34"/>
      <c r="C55" s="40">
        <f>(C40)/C28</f>
        <v>-0.0049165512582855</v>
      </c>
      <c r="D55" s="40">
        <f>(D40/0.75)/D28</f>
        <v>0.0038510723352777063</v>
      </c>
      <c r="E55" s="40">
        <f>(E40/0.5)/E28</f>
        <v>0.005818136319559573</v>
      </c>
      <c r="F55" s="37">
        <f>((F40)/0.25)/F28</f>
        <v>0.004478397512542251</v>
      </c>
      <c r="G55" s="51">
        <f>G40/G28</f>
        <v>-0.005661756507303294</v>
      </c>
      <c r="H55" s="51">
        <f>(H40/0.75)/H28</f>
        <v>0.0072276404324487795</v>
      </c>
      <c r="I55" s="38">
        <f>(I40/0.5)/I28</f>
        <v>0.009567735469832288</v>
      </c>
      <c r="J55" s="38">
        <f>((J40)/0.25)/J28</f>
        <v>0.012383663846976423</v>
      </c>
      <c r="K55" s="52">
        <f>K40/K28</f>
        <v>-0.0007895822285074539</v>
      </c>
      <c r="L55" s="51">
        <f>(L40/0.75)/L28</f>
        <v>0.009923289732442586</v>
      </c>
      <c r="M55" s="51">
        <f>(M40/0.5)/M28</f>
        <v>0.010824553187268</v>
      </c>
      <c r="N55" s="40">
        <f>((N40)/0.25)/N28</f>
        <v>0.01504987109638219</v>
      </c>
      <c r="O55" s="9">
        <f>O40/O28</f>
        <v>0.0038863996980351314</v>
      </c>
      <c r="P55" s="9">
        <f>P40/P28</f>
        <v>0.017048115515754733</v>
      </c>
      <c r="Q55" s="5"/>
    </row>
    <row r="56" spans="1:17" ht="11.25">
      <c r="A56" s="23" t="s">
        <v>49</v>
      </c>
      <c r="B56" s="34"/>
      <c r="C56" s="40">
        <f>(C40)/C27</f>
        <v>-0.003874574623237725</v>
      </c>
      <c r="D56" s="40">
        <f>(D40/0.75)/D27</f>
        <v>0.0029457792506674034</v>
      </c>
      <c r="E56" s="40">
        <f>(E40/0.5)/E27</f>
        <v>0.004288392060480162</v>
      </c>
      <c r="F56" s="37">
        <f>((F40)/0.25)/F27</f>
        <v>0.003322754093624014</v>
      </c>
      <c r="G56" s="51">
        <f>G40/G27</f>
        <v>-0.004256765882533754</v>
      </c>
      <c r="H56" s="51">
        <f>(H40/0.75)/H27</f>
        <v>0.005918757927598918</v>
      </c>
      <c r="I56" s="38">
        <f>(I40/0.5)/I27</f>
        <v>0.007722076738137585</v>
      </c>
      <c r="J56" s="38">
        <f>((J40)/0.25)/J27</f>
        <v>0.009862667581490073</v>
      </c>
      <c r="K56" s="52">
        <f>K40/K27</f>
        <v>-0.000627762565206494</v>
      </c>
      <c r="L56" s="51">
        <f>(L40/0.75)/L27</f>
        <v>0.008847866789506532</v>
      </c>
      <c r="M56" s="51">
        <f>(M40/0.5)/M27</f>
        <v>0.00967759899841388</v>
      </c>
      <c r="N56" s="40">
        <f>((N40)/0.25)/N27</f>
        <v>0.01316792933103941</v>
      </c>
      <c r="O56" s="9">
        <f>O40/O27</f>
        <v>0.003416709512094701</v>
      </c>
      <c r="P56" s="9">
        <f>P40/P27</f>
        <v>0.014972505559431621</v>
      </c>
      <c r="Q56" s="5"/>
    </row>
    <row r="57" spans="1:17" ht="11.25">
      <c r="A57" s="23" t="s">
        <v>50</v>
      </c>
      <c r="B57" s="34"/>
      <c r="C57" s="40">
        <f>(C40)/C31</f>
        <v>-0.03153999881279804</v>
      </c>
      <c r="D57" s="40">
        <f>(D40/0.75)/D31</f>
        <v>0.023660269392741184</v>
      </c>
      <c r="E57" s="40">
        <f>(E40/0.5)/E31</f>
        <v>0.03356734222446807</v>
      </c>
      <c r="F57" s="37">
        <f>((F40)/0.25)/F31</f>
        <v>0.02531645569620253</v>
      </c>
      <c r="G57" s="51">
        <f>+G40/G31</f>
        <v>-0.03369026336644612</v>
      </c>
      <c r="H57" s="51">
        <f>(H40/0.75)/H31</f>
        <v>0.04408628183400777</v>
      </c>
      <c r="I57" s="38">
        <f>(I40/0.5)/I31</f>
        <v>0.06026575524012137</v>
      </c>
      <c r="J57" s="38">
        <f>((J40)/0.25)/J31</f>
        <v>0.08012599316947143</v>
      </c>
      <c r="K57" s="52">
        <f>+K40/K31</f>
        <v>-0.0048911357290164804</v>
      </c>
      <c r="L57" s="51">
        <f>(L40/0.75)/L31</f>
        <v>0.0684692972369156</v>
      </c>
      <c r="M57" s="51">
        <f>(M40/0.5)/M31</f>
        <v>0.07839991979547847</v>
      </c>
      <c r="N57" s="40">
        <f>((N40)/0.25)/N31</f>
        <v>0.11140809343025929</v>
      </c>
      <c r="O57" s="9">
        <f>O40/O31</f>
        <v>0.027381968612515597</v>
      </c>
      <c r="P57" s="9">
        <f>P40/P31</f>
        <v>0.12276222894604136</v>
      </c>
      <c r="Q57" s="5"/>
    </row>
    <row r="58" spans="1:17" ht="11.25">
      <c r="A58" s="23" t="s">
        <v>51</v>
      </c>
      <c r="B58" s="34"/>
      <c r="C58" s="40">
        <f>(C33)/C28</f>
        <v>0.06426062039844423</v>
      </c>
      <c r="D58" s="40">
        <f>(D33/0.75)/D28</f>
        <v>0.06534265125400543</v>
      </c>
      <c r="E58" s="40">
        <f>(E33/0.5)/E28</f>
        <v>0.06508805405236323</v>
      </c>
      <c r="F58" s="37">
        <f>((F33)/0.25)/F28</f>
        <v>0.06610504154383019</v>
      </c>
      <c r="G58" s="51">
        <f>G33/G28</f>
        <v>0.0870324714744106</v>
      </c>
      <c r="H58" s="51">
        <f>(H33/0.75)/H28</f>
        <v>0.08246767974597415</v>
      </c>
      <c r="I58" s="38">
        <f>(I33/0.5)/I28</f>
        <v>0.08404989839817947</v>
      </c>
      <c r="J58" s="38">
        <f>((J33)/0.25)/J28</f>
        <v>0.08631369942813072</v>
      </c>
      <c r="K58" s="52">
        <f>K33/K28</f>
        <v>0.09300571563254964</v>
      </c>
      <c r="L58" s="51">
        <f>(L33/0.75)/L28</f>
        <v>0.07815463634444544</v>
      </c>
      <c r="M58" s="51">
        <f>(M33/0.5)/M28</f>
        <v>0.07579955659012733</v>
      </c>
      <c r="N58" s="40">
        <f>((N33)/0.25)/N28</f>
        <v>0.07780672966577051</v>
      </c>
      <c r="O58" s="9">
        <f>O33/O28</f>
        <v>0.09313845415423042</v>
      </c>
      <c r="P58" s="9">
        <f>P33/P27</f>
        <v>0.0807631172795015</v>
      </c>
      <c r="Q58" s="5"/>
    </row>
    <row r="59" spans="1:17" ht="11.25">
      <c r="A59" s="23" t="s">
        <v>52</v>
      </c>
      <c r="B59" s="34"/>
      <c r="C59" s="40">
        <f>(C34)/C28</f>
        <v>0.04022688927889553</v>
      </c>
      <c r="D59" s="40">
        <f>(D34/0.75)/D28</f>
        <v>0.0412148458838525</v>
      </c>
      <c r="E59" s="40">
        <f>(E34/0.5)/E28</f>
        <v>0.042766429979042196</v>
      </c>
      <c r="F59" s="37">
        <f>((F34)/0.25)/F28</f>
        <v>0.0432749498766311</v>
      </c>
      <c r="G59" s="51">
        <f>G34/G28</f>
        <v>0.06876494418771759</v>
      </c>
      <c r="H59" s="51">
        <f>(H34/0.75)/H28</f>
        <v>0.060845240795342856</v>
      </c>
      <c r="I59" s="38">
        <f>(I34/0.5)/I28</f>
        <v>0.06291007546772827</v>
      </c>
      <c r="J59" s="38">
        <f>((J34)/0.25)/J28</f>
        <v>0.06255281791255404</v>
      </c>
      <c r="K59" s="52">
        <f>K34/K28</f>
        <v>0.0691414766366154</v>
      </c>
      <c r="L59" s="51">
        <f>(L34/0.75)/L28</f>
        <v>0.05625737064566459</v>
      </c>
      <c r="M59" s="51">
        <f>(M34/0.5)/M28</f>
        <v>0.05495329431387974</v>
      </c>
      <c r="N59" s="40">
        <f>((N34)/0.25)/N28</f>
        <v>0.052600955335643865</v>
      </c>
      <c r="O59" s="9">
        <f>O34/O28</f>
        <v>0.0658963766545741</v>
      </c>
      <c r="P59" s="9">
        <f>P34/P27</f>
        <v>0.05495428484663272</v>
      </c>
      <c r="Q59" s="5"/>
    </row>
    <row r="60" spans="1:17" ht="11.25">
      <c r="A60" s="23" t="s">
        <v>53</v>
      </c>
      <c r="B60" s="34"/>
      <c r="C60" s="40">
        <f>(C35)/C28</f>
        <v>0.02403373111954869</v>
      </c>
      <c r="D60" s="40">
        <f>(D35/0.75)/D28</f>
        <v>0.02412780537015293</v>
      </c>
      <c r="E60" s="40">
        <f>(E35/0.5)/E28</f>
        <v>0.022321624073321028</v>
      </c>
      <c r="F60" s="37">
        <f>((F35)/0.25)/F28</f>
        <v>0.022830091667199084</v>
      </c>
      <c r="G60" s="51">
        <f>G35/G28</f>
        <v>0.018267527286693015</v>
      </c>
      <c r="H60" s="51">
        <f>(H35/0.75)/H28</f>
        <v>0.021622438950631286</v>
      </c>
      <c r="I60" s="38">
        <f>(I35/0.5)/I28</f>
        <v>0.0211398229304512</v>
      </c>
      <c r="J60" s="38">
        <f>((J35)/0.25)/J28</f>
        <v>0.02376088151557667</v>
      </c>
      <c r="K60" s="52">
        <f>K35/K28</f>
        <v>0.02386423899593424</v>
      </c>
      <c r="L60" s="51">
        <f>(L35/0.75)/L28</f>
        <v>0.02189726569878086</v>
      </c>
      <c r="M60" s="51">
        <f>(M35/0.5)/M28</f>
        <v>0.02084626227624758</v>
      </c>
      <c r="N60" s="40">
        <f>((N35)/0.25)/N28</f>
        <v>0.02520577433012665</v>
      </c>
      <c r="O60" s="9">
        <f>O35/O28</f>
        <v>0.02724207749965633</v>
      </c>
      <c r="P60" s="9">
        <f>P35/P27</f>
        <v>0.025808832432868783</v>
      </c>
      <c r="Q60" s="5"/>
    </row>
    <row r="61" spans="1:17" ht="11.25">
      <c r="A61" s="23" t="s">
        <v>54</v>
      </c>
      <c r="B61" s="34"/>
      <c r="C61" s="40">
        <f>(C38)/(C37)</f>
        <v>0.7515696589173596</v>
      </c>
      <c r="D61" s="40">
        <f>(D38/0.75)/(D37/0.75)</f>
        <v>0.7768613974799541</v>
      </c>
      <c r="E61" s="40">
        <f>(E38/0.5)/(E37/0.5)</f>
        <v>0.8276501111934766</v>
      </c>
      <c r="F61" s="37">
        <f>(F38/0.25)/(F37/0.25)</f>
        <v>0.856137607505864</v>
      </c>
      <c r="G61" s="51">
        <f>G38/G37</f>
        <v>0.5348467322151532</v>
      </c>
      <c r="H61" s="51">
        <f>(H38/0.75)/(H37/0.75)</f>
        <v>0.7592545958196927</v>
      </c>
      <c r="I61" s="38">
        <f>(I38/0.5)/(I37/0.5)</f>
        <v>0.6689628779181018</v>
      </c>
      <c r="J61" s="38">
        <f>(J38/0.25)/(J37/0.25)</f>
        <v>0.6048780487804878</v>
      </c>
      <c r="K61" s="52">
        <f>K38/K37</f>
        <v>0.4033874523952696</v>
      </c>
      <c r="L61" s="51">
        <f>(L38/0.75)/(L37/0.75)</f>
        <v>0.640110522680175</v>
      </c>
      <c r="M61" s="51">
        <f>(M38/0.5)/(M37/0.5)</f>
        <v>0.5935550935550935</v>
      </c>
      <c r="N61" s="40">
        <f>(N38/0.25)/(N37/0.25)</f>
        <v>0.48553459119496856</v>
      </c>
      <c r="O61" s="9">
        <f>O38/O37</f>
        <v>0.8920528086979032</v>
      </c>
      <c r="P61" s="9">
        <f>P38/P37</f>
        <v>0.5001924804311562</v>
      </c>
      <c r="Q61" s="5"/>
    </row>
    <row r="62" spans="1:17" ht="11.25">
      <c r="A62" s="28" t="s">
        <v>55</v>
      </c>
      <c r="B62" s="28"/>
      <c r="C62" s="42">
        <f>(C36)/C28</f>
        <v>0.012319137845415485</v>
      </c>
      <c r="D62" s="42">
        <f>(D36/0.75)/D28</f>
        <v>0.012415522333080083</v>
      </c>
      <c r="E62" s="42">
        <f>(E36/0.5)/E28</f>
        <v>0.011436078701241827</v>
      </c>
      <c r="F62" s="41">
        <f>(F36/0.25)/F28</f>
        <v>0.00829963886835276</v>
      </c>
      <c r="G62" s="53">
        <f>G36/G28</f>
        <v>0.02457350991736561</v>
      </c>
      <c r="H62" s="53">
        <f>(H36/0.75)/H28</f>
        <v>0.008399485900052921</v>
      </c>
      <c r="I62" s="42">
        <f>(I36/0.5)/I28</f>
        <v>0.007795932605048531</v>
      </c>
      <c r="J62" s="42">
        <f>(J36/0.25)/J28</f>
        <v>0.00763586339681055</v>
      </c>
      <c r="K62" s="54">
        <f>K36/K28</f>
        <v>0.034930175004419306</v>
      </c>
      <c r="L62" s="53">
        <f>(L36/0.75)/L28</f>
        <v>0.00567589316750075</v>
      </c>
      <c r="M62" s="53">
        <f>(M36/0.5)/M28</f>
        <v>0.005786014363526885</v>
      </c>
      <c r="N62" s="42">
        <f>(N36/0.25)/N28</f>
        <v>0.004047642593159024</v>
      </c>
      <c r="O62" s="9">
        <f>O36/O28</f>
        <v>0.008760709151446099</v>
      </c>
      <c r="P62" s="9">
        <f>P36/P27</f>
        <v>0.004147710782702624</v>
      </c>
      <c r="Q62" s="5"/>
    </row>
    <row r="63" spans="1:17" ht="11.25">
      <c r="A63" s="18" t="s">
        <v>56</v>
      </c>
      <c r="E63" s="34"/>
      <c r="F63" s="32"/>
      <c r="K63" s="33"/>
      <c r="L63" s="34"/>
      <c r="M63" s="34"/>
      <c r="N63" s="34"/>
      <c r="O63" s="5"/>
      <c r="P63" s="5"/>
      <c r="Q63" s="5"/>
    </row>
    <row r="64" spans="1:17" ht="11.25">
      <c r="A64" s="23" t="s">
        <v>57</v>
      </c>
      <c r="C64" s="24">
        <v>76</v>
      </c>
      <c r="D64" s="24">
        <v>76</v>
      </c>
      <c r="E64" s="27">
        <v>76</v>
      </c>
      <c r="F64" s="25">
        <v>77</v>
      </c>
      <c r="G64" s="24">
        <v>72</v>
      </c>
      <c r="H64" s="24">
        <v>76</v>
      </c>
      <c r="I64" s="24">
        <v>78</v>
      </c>
      <c r="J64" s="24">
        <v>78</v>
      </c>
      <c r="K64" s="26">
        <v>79</v>
      </c>
      <c r="L64" s="27">
        <v>79</v>
      </c>
      <c r="M64" s="27">
        <v>83</v>
      </c>
      <c r="N64" s="27">
        <v>85</v>
      </c>
      <c r="O64" s="7">
        <v>84</v>
      </c>
      <c r="P64" s="7">
        <v>85</v>
      </c>
      <c r="Q64" s="5"/>
    </row>
    <row r="65" spans="1:17" ht="11.25">
      <c r="A65" s="23" t="s">
        <v>58</v>
      </c>
      <c r="C65" s="24">
        <v>3</v>
      </c>
      <c r="D65" s="24">
        <v>3</v>
      </c>
      <c r="E65" s="27">
        <v>3</v>
      </c>
      <c r="F65" s="25">
        <v>3</v>
      </c>
      <c r="G65" s="24">
        <v>3</v>
      </c>
      <c r="H65" s="24">
        <v>3</v>
      </c>
      <c r="I65" s="24">
        <v>3</v>
      </c>
      <c r="J65" s="24">
        <v>3</v>
      </c>
      <c r="K65" s="26">
        <v>3</v>
      </c>
      <c r="L65" s="27">
        <v>3</v>
      </c>
      <c r="M65" s="27">
        <v>3</v>
      </c>
      <c r="N65" s="27">
        <v>3</v>
      </c>
      <c r="O65" s="7">
        <v>3</v>
      </c>
      <c r="P65" s="7">
        <v>3</v>
      </c>
      <c r="Q65" s="5"/>
    </row>
    <row r="66" spans="1:17" ht="11.25">
      <c r="A66" s="23" t="s">
        <v>59</v>
      </c>
      <c r="C66" s="27">
        <f aca="true" t="shared" si="20" ref="C66:P66">C12/C64</f>
        <v>1737.0394736842106</v>
      </c>
      <c r="D66" s="27">
        <f t="shared" si="20"/>
        <v>1697.8684210526317</v>
      </c>
      <c r="E66" s="27">
        <f t="shared" si="20"/>
        <v>1654.1447368421052</v>
      </c>
      <c r="F66" s="25">
        <f t="shared" si="20"/>
        <v>1669.1298701298701</v>
      </c>
      <c r="G66" s="24">
        <f t="shared" si="20"/>
        <v>2105.8055555555557</v>
      </c>
      <c r="H66" s="24">
        <f t="shared" si="20"/>
        <v>2028.3947368421052</v>
      </c>
      <c r="I66" s="24">
        <f t="shared" si="20"/>
        <v>2064.5897435897436</v>
      </c>
      <c r="J66" s="24">
        <f t="shared" si="20"/>
        <v>2131.6794871794873</v>
      </c>
      <c r="K66" s="26">
        <f t="shared" si="20"/>
        <v>1858.113924050633</v>
      </c>
      <c r="L66" s="27">
        <f t="shared" si="20"/>
        <v>2299.3924050632913</v>
      </c>
      <c r="M66" s="27">
        <f t="shared" si="20"/>
        <v>2245.156626506024</v>
      </c>
      <c r="N66" s="27">
        <f t="shared" si="20"/>
        <v>2215.4470588235295</v>
      </c>
      <c r="O66" s="7">
        <f t="shared" si="20"/>
        <v>2119.4761904761904</v>
      </c>
      <c r="P66" s="7">
        <f t="shared" si="20"/>
        <v>2872.141176470588</v>
      </c>
      <c r="Q66" s="5"/>
    </row>
    <row r="67" spans="1:17" ht="11.25">
      <c r="A67" s="23" t="s">
        <v>60</v>
      </c>
      <c r="C67" s="27">
        <f aca="true" t="shared" si="21" ref="C67:P67">C16/C64</f>
        <v>1895.9342105263158</v>
      </c>
      <c r="D67" s="27">
        <f t="shared" si="21"/>
        <v>1945.1973684210527</v>
      </c>
      <c r="E67" s="27">
        <f t="shared" si="21"/>
        <v>2008.7763157894738</v>
      </c>
      <c r="F67" s="25">
        <f t="shared" si="21"/>
        <v>2016.0389610389611</v>
      </c>
      <c r="G67" s="24">
        <f t="shared" si="21"/>
        <v>2299.2083333333335</v>
      </c>
      <c r="H67" s="24">
        <f t="shared" si="21"/>
        <v>2125.3684210526317</v>
      </c>
      <c r="I67" s="24">
        <f t="shared" si="21"/>
        <v>2150.897435897436</v>
      </c>
      <c r="J67" s="24">
        <f t="shared" si="21"/>
        <v>2250.371794871795</v>
      </c>
      <c r="K67" s="26">
        <f t="shared" si="21"/>
        <v>1910.0759493670887</v>
      </c>
      <c r="L67" s="27">
        <f t="shared" si="21"/>
        <v>1928.1012658227849</v>
      </c>
      <c r="M67" s="27">
        <f t="shared" si="21"/>
        <v>1797.8192771084337</v>
      </c>
      <c r="N67" s="27">
        <f t="shared" si="21"/>
        <v>1882.5058823529412</v>
      </c>
      <c r="O67" s="7">
        <f t="shared" si="21"/>
        <v>1796.25</v>
      </c>
      <c r="P67" s="7">
        <f t="shared" si="21"/>
        <v>2061.705882352941</v>
      </c>
      <c r="Q67" s="5"/>
    </row>
    <row r="68" spans="1:17" ht="11.25">
      <c r="A68" s="28" t="s">
        <v>61</v>
      </c>
      <c r="B68" s="28"/>
      <c r="C68" s="29">
        <f aca="true" t="shared" si="22" ref="C68:P68">(C40/C64)</f>
        <v>-10.486842105263158</v>
      </c>
      <c r="D68" s="29">
        <f t="shared" si="22"/>
        <v>6.052631578947368</v>
      </c>
      <c r="E68" s="29">
        <f t="shared" si="22"/>
        <v>6.118421052631579</v>
      </c>
      <c r="F68" s="55">
        <f t="shared" si="22"/>
        <v>2.3896103896103895</v>
      </c>
      <c r="G68" s="56">
        <f t="shared" si="22"/>
        <v>-12.694444444444445</v>
      </c>
      <c r="H68" s="56">
        <f t="shared" si="22"/>
        <v>12.578947368421053</v>
      </c>
      <c r="I68" s="56">
        <f t="shared" si="22"/>
        <v>11.076923076923077</v>
      </c>
      <c r="J68" s="56">
        <f t="shared" si="22"/>
        <v>7.256410256410256</v>
      </c>
      <c r="K68" s="57">
        <f t="shared" si="22"/>
        <v>-1.6962025316455696</v>
      </c>
      <c r="L68" s="56">
        <f t="shared" si="22"/>
        <v>19.78481012658228</v>
      </c>
      <c r="M68" s="56">
        <f t="shared" si="22"/>
        <v>14.132530120481928</v>
      </c>
      <c r="N68" s="56">
        <f t="shared" si="22"/>
        <v>9.623529411764705</v>
      </c>
      <c r="O68" s="8">
        <f t="shared" si="22"/>
        <v>9.928571428571429</v>
      </c>
      <c r="P68" s="7">
        <f t="shared" si="22"/>
        <v>45.8235294117647</v>
      </c>
      <c r="Q68" s="5"/>
    </row>
    <row r="69" spans="1:17" ht="11.25">
      <c r="A69" s="18" t="s">
        <v>62</v>
      </c>
      <c r="E69" s="34"/>
      <c r="F69" s="32"/>
      <c r="K69" s="33"/>
      <c r="L69" s="34"/>
      <c r="M69" s="34"/>
      <c r="N69" s="34"/>
      <c r="O69" s="5"/>
      <c r="P69" s="5"/>
      <c r="Q69" s="5"/>
    </row>
    <row r="70" spans="1:17" ht="11.25">
      <c r="A70" s="23" t="s">
        <v>63</v>
      </c>
      <c r="C70" s="40">
        <f aca="true" t="shared" si="23" ref="C70:K70">(C10/G10)-1</f>
        <v>-0.11469474919116096</v>
      </c>
      <c r="D70" s="40">
        <f t="shared" si="23"/>
        <v>-0.12033655777590202</v>
      </c>
      <c r="E70" s="40">
        <f t="shared" si="23"/>
        <v>-0.11150394698457344</v>
      </c>
      <c r="F70" s="37">
        <f t="shared" si="23"/>
        <v>-0.1131739561904519</v>
      </c>
      <c r="G70" s="38">
        <f t="shared" si="23"/>
        <v>0.03311239465959659</v>
      </c>
      <c r="H70" s="38">
        <f t="shared" si="23"/>
        <v>0.059053273672938555</v>
      </c>
      <c r="I70" s="38">
        <f t="shared" si="23"/>
        <v>0.05411260378466953</v>
      </c>
      <c r="J70" s="38">
        <f t="shared" si="23"/>
        <v>0.04668860001069919</v>
      </c>
      <c r="K70" s="39">
        <f t="shared" si="23"/>
        <v>-0.02073780790289903</v>
      </c>
      <c r="L70" s="40">
        <f>(L10/261890)-1</f>
        <v>-0.201252434228111</v>
      </c>
      <c r="M70" s="40">
        <f>(M10/266952)-1</f>
        <v>-0.1838270550510953</v>
      </c>
      <c r="N70" s="40">
        <f>(N10/272649)-1</f>
        <v>-0.17727187702870728</v>
      </c>
      <c r="O70" s="9">
        <f>(O10/P10)-1</f>
        <v>-0.20845443602841873</v>
      </c>
      <c r="P70" s="9">
        <f>(P10/247790)-1</f>
        <v>0.0997053956979701</v>
      </c>
      <c r="Q70" s="5"/>
    </row>
    <row r="71" spans="1:17" ht="11.25">
      <c r="A71" s="23" t="s">
        <v>64</v>
      </c>
      <c r="C71" s="40">
        <f aca="true" t="shared" si="24" ref="C71:I73">(C12/G12)-1</f>
        <v>-0.1292920365655793</v>
      </c>
      <c r="D71" s="40">
        <f t="shared" si="24"/>
        <v>-0.1629497009561619</v>
      </c>
      <c r="E71" s="40">
        <f t="shared" si="24"/>
        <v>-0.21934574448266864</v>
      </c>
      <c r="F71" s="37">
        <f t="shared" si="24"/>
        <v>-0.2270269620078066</v>
      </c>
      <c r="G71" s="38">
        <f t="shared" si="24"/>
        <v>0.0328834874072661</v>
      </c>
      <c r="H71" s="38">
        <f t="shared" si="24"/>
        <v>-0.15135533877964458</v>
      </c>
      <c r="I71" s="38">
        <f t="shared" si="24"/>
        <v>-0.1358211518234701</v>
      </c>
      <c r="J71" s="38">
        <f>J12/N12-1</f>
        <v>-0.11704980537721776</v>
      </c>
      <c r="K71" s="39">
        <f>K12/O12-1</f>
        <v>-0.17549821384439102</v>
      </c>
      <c r="L71" s="40">
        <f>(L12/221114)-1</f>
        <v>-0.1784690250278137</v>
      </c>
      <c r="M71" s="40">
        <f>M12/240257-1</f>
        <v>-0.22438055915124222</v>
      </c>
      <c r="N71" s="40">
        <f>N12/239669-1</f>
        <v>-0.2142788595938565</v>
      </c>
      <c r="O71" s="9">
        <f>(O12/P12)-1</f>
        <v>-0.2707387806596432</v>
      </c>
      <c r="P71" s="9">
        <f>P12/208990-1</f>
        <v>0.1681515862002967</v>
      </c>
      <c r="Q71" s="5"/>
    </row>
    <row r="72" spans="2:17" ht="11.25">
      <c r="B72" s="23" t="s">
        <v>15</v>
      </c>
      <c r="C72" s="40">
        <f t="shared" si="24"/>
        <v>0.007548408270430018</v>
      </c>
      <c r="D72" s="40">
        <f t="shared" si="24"/>
        <v>-0.022095549325064523</v>
      </c>
      <c r="E72" s="40">
        <f t="shared" si="24"/>
        <v>-0.10993253143122861</v>
      </c>
      <c r="F72" s="37">
        <f t="shared" si="24"/>
        <v>-0.11104558384791507</v>
      </c>
      <c r="G72" s="38">
        <f t="shared" si="24"/>
        <v>-0.10097714216290332</v>
      </c>
      <c r="H72" s="38">
        <f t="shared" si="24"/>
        <v>-0.06464974513498722</v>
      </c>
      <c r="I72" s="38">
        <f t="shared" si="24"/>
        <v>-0.01153422542906446</v>
      </c>
      <c r="J72" s="38">
        <f>(J13/N13)-1</f>
        <v>0.004801617386909207</v>
      </c>
      <c r="K72" s="39">
        <f>(K13/O13)-1</f>
        <v>0.13340087143826662</v>
      </c>
      <c r="L72" s="40">
        <f>(L13/103292)-1</f>
        <v>0.11488789064012694</v>
      </c>
      <c r="M72" s="40">
        <f>(M13/117655)-1</f>
        <v>-0.019939654073350077</v>
      </c>
      <c r="N72" s="40">
        <f>(N13/115943)-1</f>
        <v>-0.01026366404181367</v>
      </c>
      <c r="O72" s="9">
        <f>(O13/P13)-1</f>
        <v>-0.06262907508482074</v>
      </c>
      <c r="P72" s="9">
        <f>(P13/81126)-1</f>
        <v>0.3369819786504944</v>
      </c>
      <c r="Q72" s="5"/>
    </row>
    <row r="73" spans="2:17" ht="11.25">
      <c r="B73" s="23" t="s">
        <v>16</v>
      </c>
      <c r="C73" s="40">
        <f t="shared" si="24"/>
        <v>-0.4245106205747605</v>
      </c>
      <c r="D73" s="40">
        <f t="shared" si="24"/>
        <v>-0.48962191025751445</v>
      </c>
      <c r="E73" s="40">
        <f t="shared" si="24"/>
        <v>-0.4843494336896237</v>
      </c>
      <c r="F73" s="37">
        <f t="shared" si="24"/>
        <v>-0.4894147193281928</v>
      </c>
      <c r="G73" s="38">
        <f t="shared" si="24"/>
        <v>0.5216909085147512</v>
      </c>
      <c r="H73" s="38">
        <f t="shared" si="24"/>
        <v>-0.30152046080038497</v>
      </c>
      <c r="I73" s="38">
        <f t="shared" si="24"/>
        <v>-0.3375610580103887</v>
      </c>
      <c r="J73" s="38">
        <f>(J14/N14)-1</f>
        <v>-0.30713703099510603</v>
      </c>
      <c r="K73" s="39">
        <f>(K14/O14)-1</f>
        <v>-0.586760950697309</v>
      </c>
      <c r="L73" s="40">
        <f>(L14/117822)-1</f>
        <v>-0.4356486903973791</v>
      </c>
      <c r="M73" s="40">
        <f>(M14/122602)-1</f>
        <v>-0.42057225820133437</v>
      </c>
      <c r="N73" s="40">
        <f>(N14/123725)-1</f>
        <v>-0.40545564760557684</v>
      </c>
      <c r="O73" s="9">
        <f>(O14/P13)-1</f>
        <v>-0.29594151054727835</v>
      </c>
      <c r="P73" s="9">
        <f>(P14/127865)-1</f>
        <v>0.06102530012122154</v>
      </c>
      <c r="Q73" s="5"/>
    </row>
    <row r="74" spans="1:17" ht="11.25">
      <c r="A74" s="23" t="s">
        <v>65</v>
      </c>
      <c r="C74" s="40">
        <f aca="true" t="shared" si="25" ref="C74:K75">(C16/G16)-1</f>
        <v>-0.1295856665639743</v>
      </c>
      <c r="D74" s="40">
        <f t="shared" si="25"/>
        <v>-0.08477168045168637</v>
      </c>
      <c r="E74" s="40">
        <f t="shared" si="25"/>
        <v>-0.0900220540025034</v>
      </c>
      <c r="F74" s="37">
        <f t="shared" si="25"/>
        <v>-0.1156162229603086</v>
      </c>
      <c r="G74" s="38">
        <f t="shared" si="25"/>
        <v>0.09706685399215353</v>
      </c>
      <c r="H74" s="38">
        <f t="shared" si="25"/>
        <v>0.060451680672268804</v>
      </c>
      <c r="I74" s="38">
        <f t="shared" si="25"/>
        <v>0.12432062941046373</v>
      </c>
      <c r="J74" s="38">
        <f t="shared" si="25"/>
        <v>0.09696712142138453</v>
      </c>
      <c r="K74" s="39">
        <f t="shared" si="25"/>
        <v>7.290320442732146E-05</v>
      </c>
      <c r="L74" s="40">
        <f>L16/169526-1</f>
        <v>-0.10149475596663637</v>
      </c>
      <c r="M74" s="40">
        <f>M16/179167-1</f>
        <v>-0.1671513169277825</v>
      </c>
      <c r="N74" s="40">
        <f>N16/183066-1</f>
        <v>-0.1259272612063409</v>
      </c>
      <c r="O74" s="9">
        <f>(O16/P16)-1</f>
        <v>-0.1390053924505692</v>
      </c>
      <c r="P74" s="9">
        <f>P16/158167-1</f>
        <v>0.10797448266705434</v>
      </c>
      <c r="Q74" s="5"/>
    </row>
    <row r="75" spans="2:17" ht="11.25">
      <c r="B75" s="23" t="s">
        <v>15</v>
      </c>
      <c r="C75" s="40">
        <f t="shared" si="25"/>
        <v>0.020612883445228825</v>
      </c>
      <c r="D75" s="40">
        <f t="shared" si="25"/>
        <v>0.40859075535512956</v>
      </c>
      <c r="E75" s="40">
        <f t="shared" si="25"/>
        <v>0.26665972077516154</v>
      </c>
      <c r="F75" s="37">
        <f t="shared" si="25"/>
        <v>0.279716261905288</v>
      </c>
      <c r="G75" s="38">
        <f t="shared" si="25"/>
        <v>0.5960100376411543</v>
      </c>
      <c r="H75" s="38">
        <f t="shared" si="25"/>
        <v>0.12503487988635498</v>
      </c>
      <c r="I75" s="38">
        <f t="shared" si="25"/>
        <v>0.17608136257811546</v>
      </c>
      <c r="J75" s="38">
        <f t="shared" si="25"/>
        <v>-0.01578981709041083</v>
      </c>
      <c r="K75" s="39">
        <f t="shared" si="25"/>
        <v>-0.03260262665986935</v>
      </c>
      <c r="L75" s="40">
        <f>(L17/37427)-1</f>
        <v>0.05327704598284666</v>
      </c>
      <c r="M75" s="40">
        <f>(M17/39500)-1</f>
        <v>0.0330379746835443</v>
      </c>
      <c r="N75" s="40">
        <f>(N17/49292)-1</f>
        <v>-0.0672117179258297</v>
      </c>
      <c r="O75" s="9">
        <f>(O17/P17)-1</f>
        <v>-0.21051421124250147</v>
      </c>
      <c r="P75" s="9">
        <f>(P17/47934)-1</f>
        <v>0.08851754495765007</v>
      </c>
      <c r="Q75" s="5"/>
    </row>
    <row r="76" spans="2:17" ht="11.25">
      <c r="B76" s="23" t="s">
        <v>16</v>
      </c>
      <c r="C76" s="40">
        <f aca="true" t="shared" si="26" ref="C76:K76">(C21/G21)-1</f>
        <v>-0.22329363755861176</v>
      </c>
      <c r="D76" s="40">
        <f t="shared" si="26"/>
        <v>-0.27150147638635236</v>
      </c>
      <c r="E76" s="40">
        <f t="shared" si="26"/>
        <v>-0.23292703289363836</v>
      </c>
      <c r="F76" s="37">
        <f t="shared" si="26"/>
        <v>-0.25293991218643497</v>
      </c>
      <c r="G76" s="38">
        <f t="shared" si="26"/>
        <v>-0.08198404264899228</v>
      </c>
      <c r="H76" s="38">
        <f t="shared" si="26"/>
        <v>0.037901132870973075</v>
      </c>
      <c r="I76" s="38">
        <f t="shared" si="26"/>
        <v>0.10483885845001573</v>
      </c>
      <c r="J76" s="38">
        <f t="shared" si="26"/>
        <v>0.14243120472841442</v>
      </c>
      <c r="K76" s="39">
        <f t="shared" si="26"/>
        <v>0.012343653137876887</v>
      </c>
      <c r="L76" s="40">
        <f>(L21/132100)-1</f>
        <v>-0.14535200605601817</v>
      </c>
      <c r="M76" s="40">
        <f>(M21/139667)-1</f>
        <v>-0.22376796236763163</v>
      </c>
      <c r="N76" s="40">
        <f>(N21/133774)-1</f>
        <v>-0.14756230657676384</v>
      </c>
      <c r="O76" s="9">
        <f>(O21/P21)-1</f>
        <v>-0.1086878798712907</v>
      </c>
      <c r="P76" s="9">
        <f>(P21/110233)-1</f>
        <v>0.11643518728511415</v>
      </c>
      <c r="Q76" s="5"/>
    </row>
    <row r="77" spans="1:17" ht="11.25">
      <c r="A77" s="23" t="s">
        <v>66</v>
      </c>
      <c r="C77" s="40">
        <f aca="true" t="shared" si="27" ref="C77:K77">(C25/G25)-1</f>
        <v>-0.10764967985921292</v>
      </c>
      <c r="D77" s="40">
        <f t="shared" si="27"/>
        <v>-0.18577877313923785</v>
      </c>
      <c r="E77" s="40">
        <f t="shared" si="27"/>
        <v>-0.05473055994383014</v>
      </c>
      <c r="F77" s="37">
        <f t="shared" si="27"/>
        <v>0.06279490545286825</v>
      </c>
      <c r="G77" s="38">
        <f t="shared" si="27"/>
        <v>-0.03066927990708479</v>
      </c>
      <c r="H77" s="38">
        <f t="shared" si="27"/>
        <v>-0.022975144449382867</v>
      </c>
      <c r="I77" s="38">
        <f t="shared" si="27"/>
        <v>-0.01302796160909181</v>
      </c>
      <c r="J77" s="38">
        <f t="shared" si="27"/>
        <v>-0.004836887445276106</v>
      </c>
      <c r="K77" s="39">
        <f t="shared" si="27"/>
        <v>0.011416614661723168</v>
      </c>
      <c r="L77" s="40">
        <f>(L25/31625)-1</f>
        <v>-0.07513043478260872</v>
      </c>
      <c r="M77" s="40">
        <f>(M25/30985)-1</f>
        <v>-0.06854929804744236</v>
      </c>
      <c r="N77" s="40">
        <f>(N25/30415)-1</f>
        <v>-0.06874897254644086</v>
      </c>
      <c r="O77" s="9">
        <f>(O25/P25)-1</f>
        <v>-0.19106161841128433</v>
      </c>
      <c r="P77" s="9">
        <f>(P25/29781)-1</f>
        <v>0.13075450790772636</v>
      </c>
      <c r="Q77" s="5"/>
    </row>
    <row r="78" spans="1:17" ht="11.25">
      <c r="A78" s="28" t="s">
        <v>67</v>
      </c>
      <c r="B78" s="28"/>
      <c r="C78" s="42">
        <f aca="true" t="shared" si="28" ref="C78:K78">(C40/G40)-1</f>
        <v>-0.1280087527352297</v>
      </c>
      <c r="D78" s="42">
        <f t="shared" si="28"/>
        <v>-0.5188284518828452</v>
      </c>
      <c r="E78" s="42">
        <f t="shared" si="28"/>
        <v>-0.4618055555555556</v>
      </c>
      <c r="F78" s="41">
        <f t="shared" si="28"/>
        <v>-0.6749116607773852</v>
      </c>
      <c r="G78" s="42">
        <f t="shared" si="28"/>
        <v>5.82089552238806</v>
      </c>
      <c r="H78" s="42">
        <f t="shared" si="28"/>
        <v>-0.38835572616762637</v>
      </c>
      <c r="I78" s="42">
        <f t="shared" si="28"/>
        <v>-0.26342710997442453</v>
      </c>
      <c r="J78" s="42">
        <f t="shared" si="28"/>
        <v>-0.3080684596577017</v>
      </c>
      <c r="K78" s="43">
        <f t="shared" si="28"/>
        <v>-1.160671462829736</v>
      </c>
      <c r="L78" s="42">
        <f>(L40/1725)-1</f>
        <v>-0.0939130434782609</v>
      </c>
      <c r="M78" s="42">
        <f>(M40/1087)-1</f>
        <v>0.07911683532658698</v>
      </c>
      <c r="N78" s="42">
        <f>(N40/518)-1</f>
        <v>0.5791505791505791</v>
      </c>
      <c r="O78" s="9">
        <f>(O40/P40)-1</f>
        <v>-0.7858793324775353</v>
      </c>
      <c r="P78" s="9">
        <f>(P40/4678)-1</f>
        <v>-0.16737922188969645</v>
      </c>
      <c r="Q78" s="5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2017-06-16T16:06:28Z</dcterms:created>
  <dcterms:modified xsi:type="dcterms:W3CDTF">2017-06-16T16:06:32Z</dcterms:modified>
  <cp:category/>
  <cp:version/>
  <cp:contentType/>
  <cp:contentStatus/>
</cp:coreProperties>
</file>