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<sst xmlns="http://schemas.openxmlformats.org/spreadsheetml/2006/main" count="89" uniqueCount="68">
  <si>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18-17</t>
  </si>
  <si>
    <t>GLOBAL BANK CORPORATION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</si>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</sst>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3" fillId="0" borderId="16" xfId="46" applyNumberFormat="1" applyFont="1" applyBorder="1" applyAlignment="1">
      <alignment horizontal="center"/>
    </xf>
    <xf numFmtId="195" fontId="2" fillId="0" borderId="17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95" fontId="3" fillId="0" borderId="18" xfId="46" applyNumberFormat="1" applyFont="1" applyBorder="1" applyAlignment="1">
      <alignment/>
    </xf>
    <xf numFmtId="195" fontId="3" fillId="0" borderId="19" xfId="46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0" xfId="46" applyNumberFormat="1" applyFont="1" applyAlignment="1">
      <alignment horizontal="center"/>
    </xf>
    <xf numFmtId="195" fontId="2" fillId="0" borderId="0" xfId="46" applyNumberFormat="1" applyFont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11.421875" defaultRowHeight="12.75"/>
  <cols>
    <col min="1" max="1" width="3.7109375" style="3" customWidth="1"/>
    <col min="2" max="2" width="26.8515625" style="3" customWidth="1"/>
    <col min="3" max="3" width="8.140625" style="3" bestFit="1" customWidth="1"/>
    <col min="4" max="4" width="8.7109375" style="3" bestFit="1" customWidth="1"/>
    <col min="5" max="13" width="8.140625" style="3" bestFit="1" customWidth="1"/>
    <col min="14" max="14" width="8.00390625" style="3" customWidth="1"/>
    <col min="15" max="16" width="6.421875" style="3" hidden="1" customWidth="1"/>
    <col min="17" max="19" width="11.421875" style="3" customWidth="1"/>
    <col min="20" max="16384" width="11.421875" style="1" customWidth="1"/>
  </cols>
  <sheetData>
    <row r="1" spans="2:16" ht="11.25">
      <c r="B1" s="36"/>
      <c r="C1" s="36"/>
      <c r="D1" s="36"/>
      <c r="E1" s="36"/>
      <c r="F1" s="36"/>
      <c r="G1" s="3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11.25">
      <c r="B2" s="36"/>
      <c r="C2" s="36"/>
      <c r="D2" s="36"/>
      <c r="E2" s="36"/>
      <c r="F2" s="36"/>
      <c r="G2" s="36" t="s">
        <v>1</v>
      </c>
      <c r="H2" s="36"/>
      <c r="I2" s="36"/>
      <c r="J2" s="36"/>
      <c r="K2" s="36"/>
      <c r="L2" s="36"/>
      <c r="M2" s="36"/>
      <c r="N2" s="36"/>
      <c r="O2" s="36"/>
      <c r="P2" s="36"/>
    </row>
    <row r="3" spans="2:16" ht="11.25">
      <c r="B3" s="36"/>
      <c r="C3" s="36"/>
      <c r="D3" s="36"/>
      <c r="E3" s="36"/>
      <c r="F3" s="36"/>
      <c r="G3" s="36" t="s">
        <v>2</v>
      </c>
      <c r="H3" s="36"/>
      <c r="I3" s="36"/>
      <c r="J3" s="36"/>
      <c r="K3" s="36"/>
      <c r="L3" s="36"/>
      <c r="M3" s="36"/>
      <c r="N3" s="36"/>
      <c r="O3" s="36"/>
      <c r="P3" s="36"/>
    </row>
    <row r="4" spans="1:16" ht="11.25">
      <c r="A4" s="1"/>
      <c r="B4" s="35"/>
      <c r="C4" s="35"/>
      <c r="D4" s="35"/>
      <c r="E4" s="35"/>
      <c r="F4" s="35"/>
      <c r="G4" s="35" t="s">
        <v>3</v>
      </c>
      <c r="H4" s="35"/>
      <c r="I4" s="35"/>
      <c r="J4" s="35"/>
      <c r="K4" s="35"/>
      <c r="L4" s="35"/>
      <c r="M4" s="35"/>
      <c r="N4" s="35"/>
      <c r="O4" s="35"/>
      <c r="P4" s="35"/>
    </row>
    <row r="5" spans="1:16" ht="11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19" s="2" customFormat="1" ht="11.25">
      <c r="A7" s="6"/>
      <c r="B7" s="6"/>
      <c r="C7" s="37">
        <v>2002</v>
      </c>
      <c r="D7" s="37"/>
      <c r="E7" s="37"/>
      <c r="F7" s="38"/>
      <c r="G7" s="37">
        <v>2001</v>
      </c>
      <c r="H7" s="37"/>
      <c r="I7" s="37"/>
      <c r="J7" s="37"/>
      <c r="K7" s="37">
        <v>2000</v>
      </c>
      <c r="L7" s="37"/>
      <c r="M7" s="37"/>
      <c r="N7" s="37"/>
      <c r="O7" s="37" t="s">
        <v>4</v>
      </c>
      <c r="P7" s="38"/>
      <c r="Q7" s="7"/>
      <c r="R7" s="7"/>
      <c r="S7" s="7"/>
    </row>
    <row r="8" spans="1:16" ht="11.25">
      <c r="A8" s="8"/>
      <c r="B8" s="8"/>
      <c r="C8" s="8" t="s">
        <v>5</v>
      </c>
      <c r="D8" s="8" t="s">
        <v>6</v>
      </c>
      <c r="E8" s="9" t="s">
        <v>7</v>
      </c>
      <c r="F8" s="10" t="s">
        <v>8</v>
      </c>
      <c r="G8" s="8" t="s">
        <v>5</v>
      </c>
      <c r="H8" s="8" t="s">
        <v>6</v>
      </c>
      <c r="I8" s="8" t="s">
        <v>7</v>
      </c>
      <c r="J8" s="8" t="s">
        <v>8</v>
      </c>
      <c r="K8" s="11" t="s">
        <v>5</v>
      </c>
      <c r="L8" s="8" t="s">
        <v>6</v>
      </c>
      <c r="M8" s="8" t="s">
        <v>7</v>
      </c>
      <c r="N8" s="8" t="s">
        <v>8</v>
      </c>
      <c r="O8" s="12" t="s">
        <v>9</v>
      </c>
      <c r="P8" s="13" t="s">
        <v>10</v>
      </c>
    </row>
    <row r="9" spans="1:16" ht="11.25">
      <c r="A9" s="14" t="s">
        <v>11</v>
      </c>
      <c r="B9" s="14"/>
      <c r="C9" s="14"/>
      <c r="D9" s="14"/>
      <c r="E9" s="15"/>
      <c r="F9" s="16"/>
      <c r="G9" s="14"/>
      <c r="H9" s="14"/>
      <c r="I9" s="14"/>
      <c r="J9" s="14"/>
      <c r="K9" s="17"/>
      <c r="L9" s="15"/>
      <c r="M9" s="15"/>
      <c r="N9" s="15"/>
      <c r="O9" s="15"/>
      <c r="P9" s="18"/>
    </row>
    <row r="10" spans="1:16" ht="11.25">
      <c r="A10" s="3" t="s">
        <v>12</v>
      </c>
      <c r="C10" s="3">
        <v>620708</v>
      </c>
      <c r="D10" s="3">
        <v>611818</v>
      </c>
      <c r="E10" s="5">
        <v>619043</v>
      </c>
      <c r="F10" s="19">
        <v>575155</v>
      </c>
      <c r="G10" s="3">
        <v>562919</v>
      </c>
      <c r="H10" s="3">
        <v>533850</v>
      </c>
      <c r="I10" s="3">
        <v>550962</v>
      </c>
      <c r="J10" s="3">
        <v>510095</v>
      </c>
      <c r="K10" s="20">
        <v>534824</v>
      </c>
      <c r="L10" s="5">
        <v>500133</v>
      </c>
      <c r="M10" s="5">
        <v>494767</v>
      </c>
      <c r="N10" s="5">
        <v>432813</v>
      </c>
      <c r="O10" s="5">
        <v>418519</v>
      </c>
      <c r="P10" s="19">
        <v>133886</v>
      </c>
    </row>
    <row r="11" spans="1:16" ht="11.25">
      <c r="A11" s="3" t="s">
        <v>13</v>
      </c>
      <c r="C11" s="3">
        <v>65628</v>
      </c>
      <c r="D11" s="3">
        <v>60192</v>
      </c>
      <c r="E11" s="5">
        <v>76515</v>
      </c>
      <c r="F11" s="19">
        <v>49694</v>
      </c>
      <c r="G11" s="3">
        <v>50897</v>
      </c>
      <c r="H11" s="3">
        <v>59473</v>
      </c>
      <c r="I11" s="3">
        <v>82358</v>
      </c>
      <c r="J11" s="3">
        <v>52840</v>
      </c>
      <c r="K11" s="20">
        <v>74747</v>
      </c>
      <c r="L11" s="5">
        <v>57175</v>
      </c>
      <c r="M11" s="5">
        <v>88152</v>
      </c>
      <c r="N11" s="5">
        <v>46756</v>
      </c>
      <c r="O11" s="5">
        <v>62652</v>
      </c>
      <c r="P11" s="19">
        <v>23176</v>
      </c>
    </row>
    <row r="12" spans="1:16" ht="11.25">
      <c r="A12" s="3" t="s">
        <v>14</v>
      </c>
      <c r="C12" s="5">
        <f aca="true" t="shared" si="0" ref="C12:P12">C13+C14</f>
        <v>456667</v>
      </c>
      <c r="D12" s="5">
        <f t="shared" si="0"/>
        <v>449027</v>
      </c>
      <c r="E12" s="5">
        <f t="shared" si="0"/>
        <v>446667</v>
      </c>
      <c r="F12" s="19">
        <f t="shared" si="0"/>
        <v>430788</v>
      </c>
      <c r="G12" s="3">
        <f t="shared" si="0"/>
        <v>423117</v>
      </c>
      <c r="H12" s="3">
        <f t="shared" si="0"/>
        <v>402346</v>
      </c>
      <c r="I12" s="3">
        <f t="shared" si="0"/>
        <v>399590</v>
      </c>
      <c r="J12" s="3">
        <f t="shared" si="0"/>
        <v>390136</v>
      </c>
      <c r="K12" s="20">
        <f t="shared" si="0"/>
        <v>391827</v>
      </c>
      <c r="L12" s="5">
        <f t="shared" si="0"/>
        <v>369741</v>
      </c>
      <c r="M12" s="5">
        <f t="shared" si="0"/>
        <v>343425</v>
      </c>
      <c r="N12" s="5">
        <f t="shared" si="0"/>
        <v>323354</v>
      </c>
      <c r="O12" s="5">
        <f t="shared" si="0"/>
        <v>297965</v>
      </c>
      <c r="P12" s="19">
        <f t="shared" si="0"/>
        <v>93463</v>
      </c>
    </row>
    <row r="13" spans="2:16" ht="11.25">
      <c r="B13" s="3" t="s">
        <v>15</v>
      </c>
      <c r="C13" s="3">
        <v>441630</v>
      </c>
      <c r="D13" s="3">
        <v>434481</v>
      </c>
      <c r="E13" s="5">
        <v>434412</v>
      </c>
      <c r="F13" s="19">
        <v>418111</v>
      </c>
      <c r="G13" s="3">
        <v>411195</v>
      </c>
      <c r="H13" s="3">
        <v>391261</v>
      </c>
      <c r="I13" s="3">
        <v>388259</v>
      </c>
      <c r="J13" s="3">
        <v>376931</v>
      </c>
      <c r="K13" s="20">
        <v>379818</v>
      </c>
      <c r="L13" s="5">
        <v>359097</v>
      </c>
      <c r="M13" s="5">
        <v>335517</v>
      </c>
      <c r="N13" s="5">
        <v>315723</v>
      </c>
      <c r="O13" s="5">
        <v>291874</v>
      </c>
      <c r="P13" s="19">
        <v>86749</v>
      </c>
    </row>
    <row r="14" spans="2:16" ht="11.25">
      <c r="B14" s="3" t="s">
        <v>16</v>
      </c>
      <c r="C14" s="3">
        <v>15037</v>
      </c>
      <c r="D14" s="3">
        <v>14546</v>
      </c>
      <c r="E14" s="5">
        <v>12255</v>
      </c>
      <c r="F14" s="19">
        <v>12677</v>
      </c>
      <c r="G14" s="3">
        <v>11922</v>
      </c>
      <c r="H14" s="3">
        <v>11085</v>
      </c>
      <c r="I14" s="3">
        <v>11331</v>
      </c>
      <c r="J14" s="3">
        <v>13205</v>
      </c>
      <c r="K14" s="20">
        <v>12009</v>
      </c>
      <c r="L14" s="5">
        <v>10644</v>
      </c>
      <c r="M14" s="5">
        <v>7908</v>
      </c>
      <c r="N14" s="5">
        <v>7631</v>
      </c>
      <c r="O14" s="5">
        <v>6091</v>
      </c>
      <c r="P14" s="19">
        <v>6714</v>
      </c>
    </row>
    <row r="15" spans="1:16" ht="11.25">
      <c r="A15" s="3" t="s">
        <v>17</v>
      </c>
      <c r="C15" s="3">
        <v>57188</v>
      </c>
      <c r="D15" s="3">
        <v>64950</v>
      </c>
      <c r="E15" s="5">
        <v>59769</v>
      </c>
      <c r="F15" s="19">
        <v>59230</v>
      </c>
      <c r="G15" s="3">
        <v>53618</v>
      </c>
      <c r="H15" s="3">
        <v>40795</v>
      </c>
      <c r="I15" s="3">
        <v>38542</v>
      </c>
      <c r="J15" s="3">
        <v>34736</v>
      </c>
      <c r="K15" s="20">
        <v>34806</v>
      </c>
      <c r="L15" s="5">
        <v>39981</v>
      </c>
      <c r="M15" s="5">
        <v>31710</v>
      </c>
      <c r="N15" s="5">
        <v>31107</v>
      </c>
      <c r="O15" s="5">
        <v>26153</v>
      </c>
      <c r="P15" s="19">
        <v>9874</v>
      </c>
    </row>
    <row r="16" spans="1:16" ht="11.25">
      <c r="A16" s="3" t="s">
        <v>18</v>
      </c>
      <c r="C16" s="5">
        <f aca="true" t="shared" si="1" ref="C16:P16">C17+C21</f>
        <v>452557</v>
      </c>
      <c r="D16" s="5">
        <f t="shared" si="1"/>
        <v>439697</v>
      </c>
      <c r="E16" s="5">
        <f t="shared" si="1"/>
        <v>446784</v>
      </c>
      <c r="F16" s="19">
        <f t="shared" si="1"/>
        <v>407285</v>
      </c>
      <c r="G16" s="3">
        <f t="shared" si="1"/>
        <v>416756</v>
      </c>
      <c r="H16" s="3">
        <f t="shared" si="1"/>
        <v>403373</v>
      </c>
      <c r="I16" s="3">
        <f t="shared" si="1"/>
        <v>421598</v>
      </c>
      <c r="J16" s="3">
        <f t="shared" si="1"/>
        <v>405387</v>
      </c>
      <c r="K16" s="20">
        <f t="shared" si="1"/>
        <v>437224</v>
      </c>
      <c r="L16" s="5">
        <f t="shared" si="1"/>
        <v>407592</v>
      </c>
      <c r="M16" s="5">
        <f t="shared" si="1"/>
        <v>407741</v>
      </c>
      <c r="N16" s="5">
        <f t="shared" si="1"/>
        <v>364291</v>
      </c>
      <c r="O16" s="5">
        <f t="shared" si="1"/>
        <v>345937</v>
      </c>
      <c r="P16" s="19">
        <f t="shared" si="1"/>
        <v>100260</v>
      </c>
    </row>
    <row r="17" spans="2:16" ht="11.25">
      <c r="B17" s="3" t="s">
        <v>15</v>
      </c>
      <c r="C17" s="5">
        <f aca="true" t="shared" si="2" ref="C17:P17">SUM(C18:C20)</f>
        <v>433329</v>
      </c>
      <c r="D17" s="5">
        <f t="shared" si="2"/>
        <v>421845</v>
      </c>
      <c r="E17" s="5">
        <f t="shared" si="2"/>
        <v>427958</v>
      </c>
      <c r="F17" s="19">
        <f t="shared" si="2"/>
        <v>390197</v>
      </c>
      <c r="G17" s="3">
        <f t="shared" si="2"/>
        <v>400099</v>
      </c>
      <c r="H17" s="3">
        <f t="shared" si="2"/>
        <v>388158</v>
      </c>
      <c r="I17" s="3">
        <f t="shared" si="2"/>
        <v>407801</v>
      </c>
      <c r="J17" s="3">
        <f t="shared" si="2"/>
        <v>393304</v>
      </c>
      <c r="K17" s="20">
        <f t="shared" si="2"/>
        <v>419491</v>
      </c>
      <c r="L17" s="5">
        <f t="shared" si="2"/>
        <v>390487</v>
      </c>
      <c r="M17" s="5">
        <f t="shared" si="2"/>
        <v>396043</v>
      </c>
      <c r="N17" s="5">
        <f t="shared" si="2"/>
        <v>343164</v>
      </c>
      <c r="O17" s="5">
        <f t="shared" si="2"/>
        <v>336580</v>
      </c>
      <c r="P17" s="19">
        <f t="shared" si="2"/>
        <v>96667</v>
      </c>
    </row>
    <row r="18" spans="2:16" ht="11.25">
      <c r="B18" s="3" t="s">
        <v>19</v>
      </c>
      <c r="C18" s="3">
        <v>0</v>
      </c>
      <c r="D18" s="3">
        <v>0</v>
      </c>
      <c r="E18" s="5">
        <v>0</v>
      </c>
      <c r="F18" s="19">
        <v>0</v>
      </c>
      <c r="G18" s="3">
        <v>0</v>
      </c>
      <c r="H18" s="3">
        <v>0</v>
      </c>
      <c r="I18" s="3">
        <v>0</v>
      </c>
      <c r="J18" s="3">
        <v>0</v>
      </c>
      <c r="K18" s="20">
        <v>0</v>
      </c>
      <c r="L18" s="5">
        <v>0</v>
      </c>
      <c r="M18" s="5">
        <v>0</v>
      </c>
      <c r="N18" s="5">
        <v>0</v>
      </c>
      <c r="O18" s="5">
        <v>0</v>
      </c>
      <c r="P18" s="19">
        <v>0</v>
      </c>
    </row>
    <row r="19" spans="2:16" ht="11.25">
      <c r="B19" s="3" t="s">
        <v>20</v>
      </c>
      <c r="C19" s="3">
        <v>404105</v>
      </c>
      <c r="D19" s="3">
        <v>393018</v>
      </c>
      <c r="E19" s="5">
        <v>380457</v>
      </c>
      <c r="F19" s="19">
        <v>358650</v>
      </c>
      <c r="G19" s="3">
        <v>359877</v>
      </c>
      <c r="H19" s="3">
        <v>355727</v>
      </c>
      <c r="I19" s="3">
        <v>343616</v>
      </c>
      <c r="J19" s="3">
        <v>338303</v>
      </c>
      <c r="K19" s="20">
        <v>348542</v>
      </c>
      <c r="L19" s="5">
        <v>340831</v>
      </c>
      <c r="M19" s="5">
        <v>332473</v>
      </c>
      <c r="N19" s="5">
        <v>308874</v>
      </c>
      <c r="O19" s="5">
        <v>294523</v>
      </c>
      <c r="P19" s="19">
        <v>82761</v>
      </c>
    </row>
    <row r="20" spans="2:16" ht="11.25">
      <c r="B20" s="3" t="s">
        <v>21</v>
      </c>
      <c r="C20" s="3">
        <v>29224</v>
      </c>
      <c r="D20" s="3">
        <v>28827</v>
      </c>
      <c r="E20" s="5">
        <v>47501</v>
      </c>
      <c r="F20" s="19">
        <v>31547</v>
      </c>
      <c r="G20" s="3">
        <v>40222</v>
      </c>
      <c r="H20" s="3">
        <v>32431</v>
      </c>
      <c r="I20" s="3">
        <v>64185</v>
      </c>
      <c r="J20" s="3">
        <v>55001</v>
      </c>
      <c r="K20" s="20">
        <v>70949</v>
      </c>
      <c r="L20" s="5">
        <v>49656</v>
      </c>
      <c r="M20" s="5">
        <v>63570</v>
      </c>
      <c r="N20" s="5">
        <v>34290</v>
      </c>
      <c r="O20" s="5">
        <v>42057</v>
      </c>
      <c r="P20" s="19">
        <v>13906</v>
      </c>
    </row>
    <row r="21" spans="2:16" ht="11.25">
      <c r="B21" s="3" t="s">
        <v>16</v>
      </c>
      <c r="C21" s="3">
        <f>SUM(C22:C24)</f>
        <v>19228</v>
      </c>
      <c r="D21" s="5">
        <f aca="true" t="shared" si="3" ref="D21:P21">SUM(D23:D24)</f>
        <v>17852</v>
      </c>
      <c r="E21" s="5">
        <f t="shared" si="3"/>
        <v>18826</v>
      </c>
      <c r="F21" s="19">
        <f t="shared" si="3"/>
        <v>17088</v>
      </c>
      <c r="G21" s="3">
        <f t="shared" si="3"/>
        <v>16657</v>
      </c>
      <c r="H21" s="3">
        <f t="shared" si="3"/>
        <v>15215</v>
      </c>
      <c r="I21" s="3">
        <f t="shared" si="3"/>
        <v>13797</v>
      </c>
      <c r="J21" s="3">
        <f t="shared" si="3"/>
        <v>12083</v>
      </c>
      <c r="K21" s="20">
        <f t="shared" si="3"/>
        <v>17733</v>
      </c>
      <c r="L21" s="5">
        <f t="shared" si="3"/>
        <v>17105</v>
      </c>
      <c r="M21" s="5">
        <f t="shared" si="3"/>
        <v>11698</v>
      </c>
      <c r="N21" s="5">
        <f t="shared" si="3"/>
        <v>21127</v>
      </c>
      <c r="O21" s="5">
        <f t="shared" si="3"/>
        <v>9357</v>
      </c>
      <c r="P21" s="19">
        <f t="shared" si="3"/>
        <v>3593</v>
      </c>
    </row>
    <row r="22" spans="2:16" ht="11.25">
      <c r="B22" s="3" t="s">
        <v>19</v>
      </c>
      <c r="C22" s="3">
        <v>0</v>
      </c>
      <c r="D22" s="5">
        <v>0</v>
      </c>
      <c r="E22" s="5">
        <v>0</v>
      </c>
      <c r="F22" s="19">
        <v>0</v>
      </c>
      <c r="G22" s="3">
        <v>0</v>
      </c>
      <c r="H22" s="3">
        <v>0</v>
      </c>
      <c r="I22" s="3">
        <v>0</v>
      </c>
      <c r="J22" s="3">
        <v>0</v>
      </c>
      <c r="K22" s="20">
        <v>0</v>
      </c>
      <c r="L22" s="5">
        <v>0</v>
      </c>
      <c r="M22" s="5">
        <v>0</v>
      </c>
      <c r="N22" s="5">
        <v>0</v>
      </c>
      <c r="O22" s="5"/>
      <c r="P22" s="19"/>
    </row>
    <row r="23" spans="2:16" ht="11.25">
      <c r="B23" s="3" t="s">
        <v>20</v>
      </c>
      <c r="C23" s="3">
        <v>16350</v>
      </c>
      <c r="D23" s="3">
        <v>16846</v>
      </c>
      <c r="E23" s="21">
        <v>17272</v>
      </c>
      <c r="F23" s="19">
        <v>13936</v>
      </c>
      <c r="G23" s="3">
        <v>13977</v>
      </c>
      <c r="H23" s="3">
        <v>13291</v>
      </c>
      <c r="I23" s="3">
        <v>11918</v>
      </c>
      <c r="J23" s="3">
        <v>9713</v>
      </c>
      <c r="K23" s="20">
        <v>9907</v>
      </c>
      <c r="L23" s="5">
        <v>9297</v>
      </c>
      <c r="M23" s="5">
        <v>8940</v>
      </c>
      <c r="N23" s="5">
        <v>7891</v>
      </c>
      <c r="O23" s="5">
        <v>7071</v>
      </c>
      <c r="P23" s="19">
        <v>2159</v>
      </c>
    </row>
    <row r="24" spans="2:16" ht="11.25">
      <c r="B24" s="3" t="s">
        <v>21</v>
      </c>
      <c r="C24" s="3">
        <v>2878</v>
      </c>
      <c r="D24" s="3">
        <v>1006</v>
      </c>
      <c r="E24" s="5">
        <v>1554</v>
      </c>
      <c r="F24" s="19">
        <v>3152</v>
      </c>
      <c r="G24" s="3">
        <v>2680</v>
      </c>
      <c r="H24" s="3">
        <v>1924</v>
      </c>
      <c r="I24" s="3">
        <v>1879</v>
      </c>
      <c r="J24" s="3">
        <v>2370</v>
      </c>
      <c r="K24" s="20">
        <v>7826</v>
      </c>
      <c r="L24" s="5">
        <v>7808</v>
      </c>
      <c r="M24" s="5">
        <v>2758</v>
      </c>
      <c r="N24" s="5">
        <v>13236</v>
      </c>
      <c r="O24" s="5">
        <v>2286</v>
      </c>
      <c r="P24" s="19">
        <v>1434</v>
      </c>
    </row>
    <row r="25" spans="1:16" ht="11.25">
      <c r="A25" s="4" t="s">
        <v>22</v>
      </c>
      <c r="B25" s="4"/>
      <c r="C25" s="4">
        <v>66048</v>
      </c>
      <c r="D25" s="4">
        <v>64962</v>
      </c>
      <c r="E25" s="4">
        <v>64319</v>
      </c>
      <c r="F25" s="22">
        <v>63343</v>
      </c>
      <c r="G25" s="4">
        <v>49538</v>
      </c>
      <c r="H25" s="4">
        <v>42416</v>
      </c>
      <c r="I25" s="4">
        <v>44374</v>
      </c>
      <c r="J25" s="4">
        <v>42929</v>
      </c>
      <c r="K25" s="23">
        <v>41555</v>
      </c>
      <c r="L25" s="4">
        <v>41324</v>
      </c>
      <c r="M25" s="4">
        <v>38740</v>
      </c>
      <c r="N25" s="4">
        <v>38343</v>
      </c>
      <c r="O25" s="4">
        <v>36610</v>
      </c>
      <c r="P25" s="22">
        <v>12230</v>
      </c>
    </row>
    <row r="26" spans="1:16" ht="11.25">
      <c r="A26" s="14" t="s">
        <v>23</v>
      </c>
      <c r="E26" s="5"/>
      <c r="F26" s="19"/>
      <c r="K26" s="20"/>
      <c r="L26" s="5"/>
      <c r="M26" s="5"/>
      <c r="N26" s="5"/>
      <c r="O26" s="5"/>
      <c r="P26" s="19"/>
    </row>
    <row r="27" spans="1:16" ht="11.25">
      <c r="A27" s="3" t="s">
        <v>12</v>
      </c>
      <c r="C27" s="5">
        <f aca="true" t="shared" si="4" ref="C27:I27">(C10+G10)/2</f>
        <v>591813.5</v>
      </c>
      <c r="D27" s="5">
        <f t="shared" si="4"/>
        <v>572834</v>
      </c>
      <c r="E27" s="5">
        <f t="shared" si="4"/>
        <v>585002.5</v>
      </c>
      <c r="F27" s="19">
        <f t="shared" si="4"/>
        <v>542625</v>
      </c>
      <c r="G27" s="3">
        <f t="shared" si="4"/>
        <v>548871.5</v>
      </c>
      <c r="H27" s="3">
        <f t="shared" si="4"/>
        <v>516991.5</v>
      </c>
      <c r="I27" s="3">
        <f t="shared" si="4"/>
        <v>522864.5</v>
      </c>
      <c r="J27" s="3">
        <f>+(J10+N10)/2</f>
        <v>471454</v>
      </c>
      <c r="K27" s="20">
        <f>+(K10+O10)/2</f>
        <v>476671.5</v>
      </c>
      <c r="L27" s="5">
        <v>352206</v>
      </c>
      <c r="M27" s="5">
        <v>357683</v>
      </c>
      <c r="N27" s="5">
        <v>288109</v>
      </c>
      <c r="O27" s="5">
        <f>(O10+P10)/2</f>
        <v>276202.5</v>
      </c>
      <c r="P27" s="19">
        <v>121612</v>
      </c>
    </row>
    <row r="28" spans="1:16" ht="11.25">
      <c r="A28" s="3" t="s">
        <v>24</v>
      </c>
      <c r="C28" s="5">
        <f aca="true" t="shared" si="5" ref="C28:P28">C29+C30</f>
        <v>495295</v>
      </c>
      <c r="D28" s="5">
        <f t="shared" si="5"/>
        <v>478559</v>
      </c>
      <c r="E28" s="5">
        <f t="shared" si="5"/>
        <v>472284</v>
      </c>
      <c r="F28" s="19">
        <f t="shared" si="5"/>
        <v>457445</v>
      </c>
      <c r="G28" s="3">
        <f t="shared" si="5"/>
        <v>451684</v>
      </c>
      <c r="H28" s="3">
        <f t="shared" si="5"/>
        <v>426431.5</v>
      </c>
      <c r="I28" s="3">
        <f t="shared" si="5"/>
        <v>406633.5</v>
      </c>
      <c r="J28" s="3">
        <f t="shared" si="5"/>
        <v>389666.5</v>
      </c>
      <c r="K28" s="20">
        <f t="shared" si="5"/>
        <v>375375.5</v>
      </c>
      <c r="L28" s="5">
        <f t="shared" si="5"/>
        <v>283880</v>
      </c>
      <c r="M28" s="5">
        <f t="shared" si="5"/>
        <v>263033</v>
      </c>
      <c r="N28" s="5">
        <f t="shared" si="5"/>
        <v>236879</v>
      </c>
      <c r="O28" s="5">
        <f t="shared" si="5"/>
        <v>213727.5</v>
      </c>
      <c r="P28" s="19">
        <f t="shared" si="5"/>
        <v>91085</v>
      </c>
    </row>
    <row r="29" spans="2:16" ht="11.25">
      <c r="B29" s="3" t="s">
        <v>14</v>
      </c>
      <c r="C29" s="5">
        <f aca="true" t="shared" si="6" ref="C29:I29">(C12+G12)/2</f>
        <v>439892</v>
      </c>
      <c r="D29" s="5">
        <f t="shared" si="6"/>
        <v>425686.5</v>
      </c>
      <c r="E29" s="5">
        <f t="shared" si="6"/>
        <v>423128.5</v>
      </c>
      <c r="F29" s="19">
        <f t="shared" si="6"/>
        <v>410462</v>
      </c>
      <c r="G29" s="3">
        <f t="shared" si="6"/>
        <v>407472</v>
      </c>
      <c r="H29" s="3">
        <f t="shared" si="6"/>
        <v>386043.5</v>
      </c>
      <c r="I29" s="3">
        <f t="shared" si="6"/>
        <v>371507.5</v>
      </c>
      <c r="J29" s="3">
        <f>+(J12+N12)/2</f>
        <v>356745</v>
      </c>
      <c r="K29" s="20">
        <f>+(K12+O12)/2</f>
        <v>344896</v>
      </c>
      <c r="L29" s="5">
        <v>244196</v>
      </c>
      <c r="M29" s="5">
        <v>227915</v>
      </c>
      <c r="N29" s="5">
        <v>215414</v>
      </c>
      <c r="O29" s="5">
        <f>(O12+P12)/2</f>
        <v>195714</v>
      </c>
      <c r="P29" s="19">
        <v>82487</v>
      </c>
    </row>
    <row r="30" spans="2:16" ht="11.25">
      <c r="B30" s="3" t="s">
        <v>17</v>
      </c>
      <c r="C30" s="5">
        <f aca="true" t="shared" si="7" ref="C30:I30">(C15+G15)/2</f>
        <v>55403</v>
      </c>
      <c r="D30" s="5">
        <f t="shared" si="7"/>
        <v>52872.5</v>
      </c>
      <c r="E30" s="5">
        <f t="shared" si="7"/>
        <v>49155.5</v>
      </c>
      <c r="F30" s="19">
        <f t="shared" si="7"/>
        <v>46983</v>
      </c>
      <c r="G30" s="3">
        <f t="shared" si="7"/>
        <v>44212</v>
      </c>
      <c r="H30" s="3">
        <f t="shared" si="7"/>
        <v>40388</v>
      </c>
      <c r="I30" s="3">
        <f t="shared" si="7"/>
        <v>35126</v>
      </c>
      <c r="J30" s="3">
        <f>+(J15+N15)/2</f>
        <v>32921.5</v>
      </c>
      <c r="K30" s="20">
        <f>+(K15+O15)/2</f>
        <v>30479.5</v>
      </c>
      <c r="L30" s="5">
        <v>39684</v>
      </c>
      <c r="M30" s="5">
        <v>35118</v>
      </c>
      <c r="N30" s="5">
        <v>21465</v>
      </c>
      <c r="O30" s="5">
        <f>(O15+P15)/2</f>
        <v>18013.5</v>
      </c>
      <c r="P30" s="19">
        <v>8598</v>
      </c>
    </row>
    <row r="31" spans="1:16" ht="11.25">
      <c r="A31" s="4" t="s">
        <v>22</v>
      </c>
      <c r="B31" s="4"/>
      <c r="C31" s="4">
        <f aca="true" t="shared" si="8" ref="C31:I31">(C25+G25)/2</f>
        <v>57793</v>
      </c>
      <c r="D31" s="4">
        <f t="shared" si="8"/>
        <v>53689</v>
      </c>
      <c r="E31" s="4">
        <f t="shared" si="8"/>
        <v>54346.5</v>
      </c>
      <c r="F31" s="22">
        <f t="shared" si="8"/>
        <v>53136</v>
      </c>
      <c r="G31" s="4">
        <f t="shared" si="8"/>
        <v>45546.5</v>
      </c>
      <c r="H31" s="4">
        <f t="shared" si="8"/>
        <v>41870</v>
      </c>
      <c r="I31" s="4">
        <f t="shared" si="8"/>
        <v>41557</v>
      </c>
      <c r="J31" s="4">
        <f>+(J25+N25)/2</f>
        <v>40636</v>
      </c>
      <c r="K31" s="23">
        <f>+(K25+O25)/2</f>
        <v>39082.5</v>
      </c>
      <c r="L31" s="4">
        <v>32237</v>
      </c>
      <c r="M31" s="4">
        <v>30845</v>
      </c>
      <c r="N31" s="4">
        <v>25488</v>
      </c>
      <c r="O31" s="4">
        <f>(O25+P25)/2</f>
        <v>24420</v>
      </c>
      <c r="P31" s="22">
        <v>11294</v>
      </c>
    </row>
    <row r="32" spans="1:16" ht="11.25">
      <c r="A32" s="14" t="s">
        <v>25</v>
      </c>
      <c r="E32" s="5"/>
      <c r="F32" s="19"/>
      <c r="K32" s="20"/>
      <c r="L32" s="5"/>
      <c r="M32" s="5"/>
      <c r="N32" s="5"/>
      <c r="O32" s="5"/>
      <c r="P32" s="19"/>
    </row>
    <row r="33" spans="1:16" ht="11.25">
      <c r="A33" s="3" t="s">
        <v>26</v>
      </c>
      <c r="C33" s="3">
        <v>51269</v>
      </c>
      <c r="D33" s="3">
        <v>39328</v>
      </c>
      <c r="E33" s="5">
        <v>27114</v>
      </c>
      <c r="F33" s="19">
        <v>15049</v>
      </c>
      <c r="G33" s="3">
        <v>48402</v>
      </c>
      <c r="H33" s="3">
        <v>36248</v>
      </c>
      <c r="I33" s="3">
        <v>24026</v>
      </c>
      <c r="J33" s="3">
        <v>11955</v>
      </c>
      <c r="K33" s="20">
        <v>44948</v>
      </c>
      <c r="L33" s="5">
        <v>32801</v>
      </c>
      <c r="M33" s="5">
        <v>21251</v>
      </c>
      <c r="N33" s="5">
        <v>9914</v>
      </c>
      <c r="O33" s="5">
        <v>19420</v>
      </c>
      <c r="P33" s="19">
        <v>9403</v>
      </c>
    </row>
    <row r="34" spans="1:16" ht="11.25">
      <c r="A34" s="3" t="s">
        <v>27</v>
      </c>
      <c r="C34" s="3">
        <v>32170</v>
      </c>
      <c r="D34" s="3">
        <v>24438</v>
      </c>
      <c r="E34" s="5">
        <v>16306</v>
      </c>
      <c r="F34" s="19">
        <v>8259</v>
      </c>
      <c r="G34" s="3">
        <v>36068</v>
      </c>
      <c r="H34" s="3">
        <v>27064</v>
      </c>
      <c r="I34" s="3">
        <v>18020</v>
      </c>
      <c r="J34" s="3">
        <v>8994</v>
      </c>
      <c r="K34" s="20">
        <v>32216</v>
      </c>
      <c r="L34" s="5">
        <v>23028</v>
      </c>
      <c r="M34" s="5">
        <v>14764</v>
      </c>
      <c r="N34" s="5">
        <v>6897</v>
      </c>
      <c r="O34" s="5">
        <v>13721</v>
      </c>
      <c r="P34" s="19">
        <v>6693</v>
      </c>
    </row>
    <row r="35" spans="1:16" ht="11.25">
      <c r="A35" s="3" t="s">
        <v>28</v>
      </c>
      <c r="C35" s="5">
        <f>+C33-C34</f>
        <v>19099</v>
      </c>
      <c r="D35" s="5">
        <f>+D33-D34</f>
        <v>14890</v>
      </c>
      <c r="E35" s="5">
        <f>+E33-E34</f>
        <v>10808</v>
      </c>
      <c r="F35" s="19">
        <f>+F33-F34</f>
        <v>6790</v>
      </c>
      <c r="G35" s="3">
        <f aca="true" t="shared" si="9" ref="G35:P35">G33-G34</f>
        <v>12334</v>
      </c>
      <c r="H35" s="3">
        <f t="shared" si="9"/>
        <v>9184</v>
      </c>
      <c r="I35" s="3">
        <f t="shared" si="9"/>
        <v>6006</v>
      </c>
      <c r="J35" s="3">
        <f t="shared" si="9"/>
        <v>2961</v>
      </c>
      <c r="K35" s="20">
        <f t="shared" si="9"/>
        <v>12732</v>
      </c>
      <c r="L35" s="5">
        <f t="shared" si="9"/>
        <v>9773</v>
      </c>
      <c r="M35" s="5">
        <f t="shared" si="9"/>
        <v>6487</v>
      </c>
      <c r="N35" s="5">
        <f t="shared" si="9"/>
        <v>3017</v>
      </c>
      <c r="O35" s="5">
        <f t="shared" si="9"/>
        <v>5699</v>
      </c>
      <c r="P35" s="19">
        <f t="shared" si="9"/>
        <v>2710</v>
      </c>
    </row>
    <row r="36" spans="1:16" ht="11.25">
      <c r="A36" s="3" t="s">
        <v>29</v>
      </c>
      <c r="C36" s="3">
        <v>13891</v>
      </c>
      <c r="D36" s="3">
        <v>10176</v>
      </c>
      <c r="E36" s="5">
        <v>6852</v>
      </c>
      <c r="F36" s="19">
        <v>2890</v>
      </c>
      <c r="G36" s="3">
        <v>11458</v>
      </c>
      <c r="H36" s="3">
        <v>7705</v>
      </c>
      <c r="I36" s="3">
        <v>4824</v>
      </c>
      <c r="J36" s="3">
        <v>2127</v>
      </c>
      <c r="K36" s="20">
        <v>11912</v>
      </c>
      <c r="L36" s="5">
        <v>7728</v>
      </c>
      <c r="M36" s="5">
        <v>5381</v>
      </c>
      <c r="N36" s="5">
        <v>2683</v>
      </c>
      <c r="O36" s="5">
        <v>2764</v>
      </c>
      <c r="P36" s="19">
        <v>2096</v>
      </c>
    </row>
    <row r="37" spans="1:16" ht="11.25">
      <c r="A37" s="3" t="s">
        <v>30</v>
      </c>
      <c r="C37" s="5">
        <f>+C36+C35</f>
        <v>32990</v>
      </c>
      <c r="D37" s="5">
        <f>+D36+D35</f>
        <v>25066</v>
      </c>
      <c r="E37" s="5">
        <f>+E36+E35</f>
        <v>17660</v>
      </c>
      <c r="F37" s="19">
        <f>+F36+F35</f>
        <v>9680</v>
      </c>
      <c r="G37" s="3">
        <f aca="true" t="shared" si="10" ref="G37:P37">G35+G36</f>
        <v>23792</v>
      </c>
      <c r="H37" s="3">
        <f t="shared" si="10"/>
        <v>16889</v>
      </c>
      <c r="I37" s="3">
        <f t="shared" si="10"/>
        <v>10830</v>
      </c>
      <c r="J37" s="3">
        <f t="shared" si="10"/>
        <v>5088</v>
      </c>
      <c r="K37" s="20">
        <f t="shared" si="10"/>
        <v>24644</v>
      </c>
      <c r="L37" s="5">
        <f t="shared" si="10"/>
        <v>17501</v>
      </c>
      <c r="M37" s="5">
        <f t="shared" si="10"/>
        <v>11868</v>
      </c>
      <c r="N37" s="5">
        <f t="shared" si="10"/>
        <v>5700</v>
      </c>
      <c r="O37" s="5">
        <f t="shared" si="10"/>
        <v>8463</v>
      </c>
      <c r="P37" s="19">
        <f t="shared" si="10"/>
        <v>4806</v>
      </c>
    </row>
    <row r="38" spans="1:16" ht="11.25">
      <c r="A38" s="3" t="s">
        <v>31</v>
      </c>
      <c r="C38" s="3">
        <v>16009</v>
      </c>
      <c r="D38" s="3">
        <v>11957</v>
      </c>
      <c r="E38" s="5">
        <v>7325</v>
      </c>
      <c r="F38" s="19">
        <v>3424</v>
      </c>
      <c r="G38" s="3">
        <v>13771</v>
      </c>
      <c r="H38" s="3">
        <v>10067</v>
      </c>
      <c r="I38" s="3">
        <v>6368</v>
      </c>
      <c r="J38" s="3">
        <v>3087</v>
      </c>
      <c r="K38" s="20">
        <v>14043</v>
      </c>
      <c r="L38" s="5">
        <v>10479</v>
      </c>
      <c r="M38" s="5">
        <v>7126</v>
      </c>
      <c r="N38" s="5">
        <v>3455</v>
      </c>
      <c r="O38" s="5">
        <v>6457</v>
      </c>
      <c r="P38" s="19">
        <v>3179</v>
      </c>
    </row>
    <row r="39" spans="1:16" ht="11.25">
      <c r="A39" s="3" t="s">
        <v>32</v>
      </c>
      <c r="C39" s="5">
        <f>+C37-C38</f>
        <v>16981</v>
      </c>
      <c r="D39" s="5">
        <f>+D37-D38</f>
        <v>13109</v>
      </c>
      <c r="E39" s="5">
        <f>+E37-E38</f>
        <v>10335</v>
      </c>
      <c r="F39" s="19">
        <f>+F37-F38</f>
        <v>6256</v>
      </c>
      <c r="G39" s="3">
        <f aca="true" t="shared" si="11" ref="G39:P39">G37-G38</f>
        <v>10021</v>
      </c>
      <c r="H39" s="3">
        <f t="shared" si="11"/>
        <v>6822</v>
      </c>
      <c r="I39" s="3">
        <f t="shared" si="11"/>
        <v>4462</v>
      </c>
      <c r="J39" s="3">
        <f t="shared" si="11"/>
        <v>2001</v>
      </c>
      <c r="K39" s="20">
        <f t="shared" si="11"/>
        <v>10601</v>
      </c>
      <c r="L39" s="5">
        <f t="shared" si="11"/>
        <v>7022</v>
      </c>
      <c r="M39" s="5">
        <f t="shared" si="11"/>
        <v>4742</v>
      </c>
      <c r="N39" s="5">
        <f t="shared" si="11"/>
        <v>2245</v>
      </c>
      <c r="O39" s="5">
        <f t="shared" si="11"/>
        <v>2006</v>
      </c>
      <c r="P39" s="19">
        <f t="shared" si="11"/>
        <v>1627</v>
      </c>
    </row>
    <row r="40" spans="1:16" ht="11.25">
      <c r="A40" s="4" t="s">
        <v>33</v>
      </c>
      <c r="B40" s="4"/>
      <c r="C40" s="4">
        <v>5577</v>
      </c>
      <c r="D40" s="4">
        <v>3371</v>
      </c>
      <c r="E40" s="4">
        <v>2097</v>
      </c>
      <c r="F40" s="22">
        <f>+F39-6350</f>
        <v>-94</v>
      </c>
      <c r="G40" s="4">
        <v>5078</v>
      </c>
      <c r="H40" s="4">
        <v>3548</v>
      </c>
      <c r="I40" s="4">
        <v>2596</v>
      </c>
      <c r="J40" s="4">
        <v>1101</v>
      </c>
      <c r="K40" s="23">
        <v>6256</v>
      </c>
      <c r="L40" s="4">
        <v>5023</v>
      </c>
      <c r="M40" s="4">
        <v>3641</v>
      </c>
      <c r="N40" s="4">
        <v>1733</v>
      </c>
      <c r="O40" s="4">
        <v>1482</v>
      </c>
      <c r="P40" s="22">
        <v>1506</v>
      </c>
    </row>
    <row r="41" spans="1:16" ht="11.25">
      <c r="A41" s="14" t="s">
        <v>34</v>
      </c>
      <c r="E41" s="5"/>
      <c r="F41" s="19"/>
      <c r="K41" s="20"/>
      <c r="L41" s="5"/>
      <c r="M41" s="5"/>
      <c r="N41" s="5"/>
      <c r="O41" s="5"/>
      <c r="P41" s="19"/>
    </row>
    <row r="42" spans="1:16" ht="11.25">
      <c r="A42" s="3" t="s">
        <v>35</v>
      </c>
      <c r="C42" s="3">
        <v>13675</v>
      </c>
      <c r="D42" s="3">
        <v>13510</v>
      </c>
      <c r="E42" s="5">
        <v>13621</v>
      </c>
      <c r="F42" s="19">
        <v>15988</v>
      </c>
      <c r="G42" s="3">
        <v>5450</v>
      </c>
      <c r="H42" s="3">
        <v>4470</v>
      </c>
      <c r="I42" s="3">
        <v>5109</v>
      </c>
      <c r="J42" s="3">
        <v>8641</v>
      </c>
      <c r="K42" s="20">
        <v>8686</v>
      </c>
      <c r="L42" s="5">
        <v>11833</v>
      </c>
      <c r="M42" s="5">
        <v>4973</v>
      </c>
      <c r="N42" s="5">
        <v>11909</v>
      </c>
      <c r="O42" s="5">
        <v>19500</v>
      </c>
      <c r="P42" s="19">
        <v>302</v>
      </c>
    </row>
    <row r="43" spans="1:16" ht="11.25">
      <c r="A43" s="3" t="s">
        <v>36</v>
      </c>
      <c r="C43" s="3">
        <v>7261</v>
      </c>
      <c r="D43" s="3">
        <v>6704</v>
      </c>
      <c r="E43" s="5">
        <v>7212</v>
      </c>
      <c r="F43" s="19">
        <v>8043</v>
      </c>
      <c r="G43" s="3">
        <v>5503</v>
      </c>
      <c r="H43" s="3">
        <v>4825</v>
      </c>
      <c r="I43" s="3">
        <v>2559</v>
      </c>
      <c r="J43" s="3">
        <v>4279</v>
      </c>
      <c r="K43" s="20">
        <v>3904</v>
      </c>
      <c r="L43" s="5">
        <v>4044</v>
      </c>
      <c r="M43" s="5">
        <v>4415</v>
      </c>
      <c r="N43" s="5">
        <v>3952</v>
      </c>
      <c r="O43" s="5">
        <v>3601</v>
      </c>
      <c r="P43" s="19">
        <v>291</v>
      </c>
    </row>
    <row r="44" spans="1:16" ht="11.25">
      <c r="A44" s="3" t="s">
        <v>37</v>
      </c>
      <c r="C44" s="24">
        <f aca="true" t="shared" si="12" ref="C44:P44">C42/C12</f>
        <v>0.029945233616617797</v>
      </c>
      <c r="D44" s="24">
        <f t="shared" si="12"/>
        <v>0.03008727760246043</v>
      </c>
      <c r="E44" s="24">
        <f t="shared" si="12"/>
        <v>0.030494753362124358</v>
      </c>
      <c r="F44" s="25">
        <f t="shared" si="12"/>
        <v>0.03711338291688719</v>
      </c>
      <c r="G44" s="26">
        <f t="shared" si="12"/>
        <v>0.012880598037894956</v>
      </c>
      <c r="H44" s="26">
        <f t="shared" si="12"/>
        <v>0.011109840783802996</v>
      </c>
      <c r="I44" s="26">
        <f t="shared" si="12"/>
        <v>0.012785605245376511</v>
      </c>
      <c r="J44" s="26">
        <f t="shared" si="12"/>
        <v>0.022148686611848177</v>
      </c>
      <c r="K44" s="27">
        <f t="shared" si="12"/>
        <v>0.022167946568255888</v>
      </c>
      <c r="L44" s="24">
        <f t="shared" si="12"/>
        <v>0.03200348351954476</v>
      </c>
      <c r="M44" s="24">
        <f t="shared" si="12"/>
        <v>0.014480599839848583</v>
      </c>
      <c r="N44" s="24">
        <f t="shared" si="12"/>
        <v>0.03682960470567861</v>
      </c>
      <c r="O44" s="5">
        <f t="shared" si="12"/>
        <v>0.06544392797811824</v>
      </c>
      <c r="P44" s="19">
        <f t="shared" si="12"/>
        <v>0.0032312251907171824</v>
      </c>
    </row>
    <row r="45" spans="1:16" ht="11.25">
      <c r="A45" s="3" t="s">
        <v>38</v>
      </c>
      <c r="C45" s="24">
        <f aca="true" t="shared" si="13" ref="C45:P45">C43/C42</f>
        <v>0.5309689213893967</v>
      </c>
      <c r="D45" s="24">
        <f t="shared" si="13"/>
        <v>0.49622501850481127</v>
      </c>
      <c r="E45" s="24">
        <f t="shared" si="13"/>
        <v>0.5294765435724249</v>
      </c>
      <c r="F45" s="25">
        <f t="shared" si="13"/>
        <v>0.5030647985989493</v>
      </c>
      <c r="G45" s="26">
        <f t="shared" si="13"/>
        <v>1.009724770642202</v>
      </c>
      <c r="H45" s="26">
        <f t="shared" si="13"/>
        <v>1.0794183445190157</v>
      </c>
      <c r="I45" s="26">
        <f t="shared" si="13"/>
        <v>0.5008807985907222</v>
      </c>
      <c r="J45" s="26">
        <f t="shared" si="13"/>
        <v>0.4951973151255642</v>
      </c>
      <c r="K45" s="27">
        <f t="shared" si="13"/>
        <v>0.4494588993783099</v>
      </c>
      <c r="L45" s="24">
        <f t="shared" si="13"/>
        <v>0.34175610580579735</v>
      </c>
      <c r="M45" s="24">
        <f t="shared" si="13"/>
        <v>0.8877940880756083</v>
      </c>
      <c r="N45" s="24">
        <f t="shared" si="13"/>
        <v>0.33184986144932405</v>
      </c>
      <c r="O45" s="5">
        <f t="shared" si="13"/>
        <v>0.18466666666666667</v>
      </c>
      <c r="P45" s="19">
        <f t="shared" si="13"/>
        <v>0.9635761589403974</v>
      </c>
    </row>
    <row r="46" spans="1:16" ht="11.25">
      <c r="A46" s="4" t="s">
        <v>39</v>
      </c>
      <c r="B46" s="4"/>
      <c r="C46" s="28">
        <f aca="true" t="shared" si="14" ref="C46:P46">C43/C12</f>
        <v>0.015899988394169055</v>
      </c>
      <c r="D46" s="28">
        <f t="shared" si="14"/>
        <v>0.014930059885040321</v>
      </c>
      <c r="E46" s="28">
        <f t="shared" si="14"/>
        <v>0.01614625660727119</v>
      </c>
      <c r="F46" s="29">
        <f t="shared" si="14"/>
        <v>0.018670436502409536</v>
      </c>
      <c r="G46" s="28">
        <f t="shared" si="14"/>
        <v>0.01300585889954788</v>
      </c>
      <c r="H46" s="28">
        <f t="shared" si="14"/>
        <v>0.011992165946722472</v>
      </c>
      <c r="I46" s="28">
        <f t="shared" si="14"/>
        <v>0.006404064165769914</v>
      </c>
      <c r="J46" s="28">
        <f t="shared" si="14"/>
        <v>0.010967970143744746</v>
      </c>
      <c r="K46" s="30">
        <f t="shared" si="14"/>
        <v>0.009963580866045475</v>
      </c>
      <c r="L46" s="28">
        <f t="shared" si="14"/>
        <v>0.010937385899859632</v>
      </c>
      <c r="M46" s="28">
        <f t="shared" si="14"/>
        <v>0.012855790929606174</v>
      </c>
      <c r="N46" s="28">
        <f t="shared" si="14"/>
        <v>0.012221899218812818</v>
      </c>
      <c r="O46" s="4">
        <f t="shared" si="14"/>
        <v>0.012085312033292502</v>
      </c>
      <c r="P46" s="22">
        <f t="shared" si="14"/>
        <v>0.003113531557942715</v>
      </c>
    </row>
    <row r="47" spans="1:16" ht="11.25">
      <c r="A47" s="14" t="s">
        <v>40</v>
      </c>
      <c r="E47" s="5"/>
      <c r="F47" s="19"/>
      <c r="K47" s="20"/>
      <c r="L47" s="5"/>
      <c r="M47" s="5"/>
      <c r="N47" s="5"/>
      <c r="O47" s="5"/>
      <c r="P47" s="19"/>
    </row>
    <row r="48" spans="1:16" ht="11.25">
      <c r="A48" s="3" t="s">
        <v>41</v>
      </c>
      <c r="C48" s="24">
        <f aca="true" t="shared" si="15" ref="C48:P48">C25/(C12+C15)</f>
        <v>0.1285343141547713</v>
      </c>
      <c r="D48" s="24">
        <f t="shared" si="15"/>
        <v>0.12639086963035312</v>
      </c>
      <c r="E48" s="24">
        <f t="shared" si="15"/>
        <v>0.1270032146213934</v>
      </c>
      <c r="F48" s="25">
        <f t="shared" si="15"/>
        <v>0.12926667999951022</v>
      </c>
      <c r="G48" s="26">
        <f t="shared" si="15"/>
        <v>0.10391097779688925</v>
      </c>
      <c r="H48" s="26">
        <f t="shared" si="15"/>
        <v>0.09571671319060976</v>
      </c>
      <c r="I48" s="26">
        <f t="shared" si="15"/>
        <v>0.10127997954954215</v>
      </c>
      <c r="J48" s="26">
        <f t="shared" si="15"/>
        <v>0.10103984258788529</v>
      </c>
      <c r="K48" s="27">
        <f t="shared" si="15"/>
        <v>0.09740221689367677</v>
      </c>
      <c r="L48" s="24">
        <f t="shared" si="15"/>
        <v>0.10085863097417273</v>
      </c>
      <c r="M48" s="24">
        <f t="shared" si="15"/>
        <v>0.10326948965039252</v>
      </c>
      <c r="N48" s="24">
        <f t="shared" si="15"/>
        <v>0.10817269036650012</v>
      </c>
      <c r="O48" s="5">
        <f t="shared" si="15"/>
        <v>0.11295269006966599</v>
      </c>
      <c r="P48" s="19">
        <f t="shared" si="15"/>
        <v>0.11835063917086813</v>
      </c>
    </row>
    <row r="49" spans="1:16" ht="11.25">
      <c r="A49" s="4" t="s">
        <v>42</v>
      </c>
      <c r="B49" s="4"/>
      <c r="C49" s="28">
        <f aca="true" t="shared" si="16" ref="C49:P49">C25/C12</f>
        <v>0.14463055136456104</v>
      </c>
      <c r="D49" s="28">
        <f t="shared" si="16"/>
        <v>0.14467281477505806</v>
      </c>
      <c r="E49" s="28">
        <f t="shared" si="16"/>
        <v>0.14399765373309423</v>
      </c>
      <c r="F49" s="29">
        <f t="shared" si="16"/>
        <v>0.14703984326397207</v>
      </c>
      <c r="G49" s="28">
        <f t="shared" si="16"/>
        <v>0.11707872763325511</v>
      </c>
      <c r="H49" s="28">
        <f t="shared" si="16"/>
        <v>0.10542170171941563</v>
      </c>
      <c r="I49" s="28">
        <f t="shared" si="16"/>
        <v>0.11104882504567182</v>
      </c>
      <c r="J49" s="28">
        <f t="shared" si="16"/>
        <v>0.11003598745053007</v>
      </c>
      <c r="K49" s="30">
        <f t="shared" si="16"/>
        <v>0.10605445770710033</v>
      </c>
      <c r="L49" s="28">
        <f t="shared" si="16"/>
        <v>0.1117647217917407</v>
      </c>
      <c r="M49" s="28">
        <f t="shared" si="16"/>
        <v>0.11280483366091577</v>
      </c>
      <c r="N49" s="28">
        <f t="shared" si="16"/>
        <v>0.11857901866066292</v>
      </c>
      <c r="O49" s="4">
        <f t="shared" si="16"/>
        <v>0.12286677965532865</v>
      </c>
      <c r="P49" s="22">
        <f t="shared" si="16"/>
        <v>0.13085392080288458</v>
      </c>
    </row>
    <row r="50" spans="1:16" ht="11.25">
      <c r="A50" s="14" t="s">
        <v>43</v>
      </c>
      <c r="C50" s="26"/>
      <c r="D50" s="31"/>
      <c r="E50" s="24"/>
      <c r="F50" s="25"/>
      <c r="G50" s="26"/>
      <c r="H50" s="26"/>
      <c r="I50" s="26"/>
      <c r="J50" s="26"/>
      <c r="K50" s="27"/>
      <c r="L50" s="24"/>
      <c r="M50" s="24"/>
      <c r="N50" s="24"/>
      <c r="O50" s="5"/>
      <c r="P50" s="19"/>
    </row>
    <row r="51" spans="1:16" ht="11.25">
      <c r="A51" s="3" t="s">
        <v>44</v>
      </c>
      <c r="C51" s="24">
        <f aca="true" t="shared" si="17" ref="C51:P51">C11/C16</f>
        <v>0.1450159869364522</v>
      </c>
      <c r="D51" s="24">
        <f t="shared" si="17"/>
        <v>0.136894270372552</v>
      </c>
      <c r="E51" s="24">
        <f t="shared" si="17"/>
        <v>0.1712572518263859</v>
      </c>
      <c r="F51" s="25">
        <f t="shared" si="17"/>
        <v>0.12201284113090342</v>
      </c>
      <c r="G51" s="26">
        <f t="shared" si="17"/>
        <v>0.12212661605351813</v>
      </c>
      <c r="H51" s="26">
        <f t="shared" si="17"/>
        <v>0.1474392187875738</v>
      </c>
      <c r="I51" s="26">
        <f t="shared" si="17"/>
        <v>0.19534722650486958</v>
      </c>
      <c r="J51" s="26">
        <f t="shared" si="17"/>
        <v>0.13034458431079438</v>
      </c>
      <c r="K51" s="27">
        <f t="shared" si="17"/>
        <v>0.17095813587543227</v>
      </c>
      <c r="L51" s="24">
        <f t="shared" si="17"/>
        <v>0.1402750790005692</v>
      </c>
      <c r="M51" s="24">
        <f t="shared" si="17"/>
        <v>0.21619606563970756</v>
      </c>
      <c r="N51" s="24">
        <f t="shared" si="17"/>
        <v>0.128347941618102</v>
      </c>
      <c r="O51" s="5">
        <f t="shared" si="17"/>
        <v>0.18110812084281241</v>
      </c>
      <c r="P51" s="19">
        <f t="shared" si="17"/>
        <v>0.23115898663474965</v>
      </c>
    </row>
    <row r="52" spans="1:16" ht="11.25">
      <c r="A52" s="3" t="s">
        <v>45</v>
      </c>
      <c r="C52" s="24">
        <f aca="true" t="shared" si="18" ref="C52:P52">C11/C10</f>
        <v>0.10573087506524807</v>
      </c>
      <c r="D52" s="24">
        <f t="shared" si="18"/>
        <v>0.09838219862769647</v>
      </c>
      <c r="E52" s="24">
        <f t="shared" si="18"/>
        <v>0.12360207610779865</v>
      </c>
      <c r="F52" s="25">
        <f t="shared" si="18"/>
        <v>0.08640105710634524</v>
      </c>
      <c r="G52" s="26">
        <f t="shared" si="18"/>
        <v>0.09041620552868175</v>
      </c>
      <c r="H52" s="26">
        <f t="shared" si="18"/>
        <v>0.11140395242109206</v>
      </c>
      <c r="I52" s="26">
        <f t="shared" si="18"/>
        <v>0.14948036343704285</v>
      </c>
      <c r="J52" s="26">
        <f t="shared" si="18"/>
        <v>0.10358854723139807</v>
      </c>
      <c r="K52" s="27">
        <f t="shared" si="18"/>
        <v>0.13975999581170628</v>
      </c>
      <c r="L52" s="24">
        <f t="shared" si="18"/>
        <v>0.11431959098879697</v>
      </c>
      <c r="M52" s="24">
        <f t="shared" si="18"/>
        <v>0.17816871375819324</v>
      </c>
      <c r="N52" s="24">
        <f t="shared" si="18"/>
        <v>0.10802817845120179</v>
      </c>
      <c r="O52" s="5">
        <f t="shared" si="18"/>
        <v>0.1496992968061187</v>
      </c>
      <c r="P52" s="19">
        <f t="shared" si="18"/>
        <v>0.1731024901782113</v>
      </c>
    </row>
    <row r="53" spans="1:16" ht="11.25">
      <c r="A53" s="4" t="s">
        <v>46</v>
      </c>
      <c r="B53" s="4"/>
      <c r="C53" s="28">
        <f aca="true" t="shared" si="19" ref="C53:P53">(C11+C15)/C16</f>
        <v>0.27138238940067216</v>
      </c>
      <c r="D53" s="28">
        <f t="shared" si="19"/>
        <v>0.2846096289035404</v>
      </c>
      <c r="E53" s="28">
        <f t="shared" si="19"/>
        <v>0.3050333046841427</v>
      </c>
      <c r="F53" s="29">
        <f t="shared" si="19"/>
        <v>0.2674392624329401</v>
      </c>
      <c r="G53" s="28">
        <f t="shared" si="19"/>
        <v>0.25078223228939717</v>
      </c>
      <c r="H53" s="28">
        <f t="shared" si="19"/>
        <v>0.24857390058333106</v>
      </c>
      <c r="I53" s="28">
        <f t="shared" si="19"/>
        <v>0.2867660662526862</v>
      </c>
      <c r="J53" s="28">
        <f t="shared" si="19"/>
        <v>0.21603060778959365</v>
      </c>
      <c r="K53" s="30">
        <f t="shared" si="19"/>
        <v>0.2505649278173202</v>
      </c>
      <c r="L53" s="28">
        <f t="shared" si="19"/>
        <v>0.23836581679718935</v>
      </c>
      <c r="M53" s="28">
        <f t="shared" si="19"/>
        <v>0.2939660225486277</v>
      </c>
      <c r="N53" s="28">
        <f t="shared" si="19"/>
        <v>0.2137384673241996</v>
      </c>
      <c r="O53" s="4">
        <f t="shared" si="19"/>
        <v>0.256708591448732</v>
      </c>
      <c r="P53" s="22">
        <f t="shared" si="19"/>
        <v>0.3296429283861959</v>
      </c>
    </row>
    <row r="54" spans="1:16" ht="11.25">
      <c r="A54" s="14" t="s">
        <v>47</v>
      </c>
      <c r="C54" s="26"/>
      <c r="D54" s="31"/>
      <c r="E54" s="24"/>
      <c r="F54" s="25"/>
      <c r="G54" s="26"/>
      <c r="H54" s="26"/>
      <c r="I54" s="26"/>
      <c r="J54" s="26"/>
      <c r="K54" s="27"/>
      <c r="L54" s="24"/>
      <c r="M54" s="24"/>
      <c r="N54" s="24"/>
      <c r="O54" s="5"/>
      <c r="P54" s="19"/>
    </row>
    <row r="55" spans="1:16" ht="11.25">
      <c r="A55" s="3" t="s">
        <v>48</v>
      </c>
      <c r="B55" s="5"/>
      <c r="C55" s="24">
        <f>(C40)/C28</f>
        <v>0.011259956187726506</v>
      </c>
      <c r="D55" s="24">
        <f>((D40)/0.75)/D28</f>
        <v>0.00939208470986162</v>
      </c>
      <c r="E55" s="24">
        <f>((E40)/0.5)/E28</f>
        <v>0.00888025001905633</v>
      </c>
      <c r="F55" s="25">
        <f>((F40)/0.25)/F28</f>
        <v>-0.0008219567379684989</v>
      </c>
      <c r="G55" s="24">
        <f>(G40)/G28</f>
        <v>0.011242372986424137</v>
      </c>
      <c r="H55" s="26">
        <f>((H40)/0.75)/H28</f>
        <v>0.011093614488298043</v>
      </c>
      <c r="I55" s="26">
        <f>((I40)/0.5)/I28</f>
        <v>0.012768254460097361</v>
      </c>
      <c r="J55" s="26">
        <f>((J40)/0.25)/J28</f>
        <v>0.011301972327618617</v>
      </c>
      <c r="K55" s="27">
        <f>(K40)/K28</f>
        <v>0.01666597846689515</v>
      </c>
      <c r="L55" s="24">
        <f>((L40)/0.75)/L28</f>
        <v>0.02359212812925649</v>
      </c>
      <c r="M55" s="24">
        <f>((M40)/0.5)/M28</f>
        <v>0.027684739177213504</v>
      </c>
      <c r="N55" s="24">
        <f>((N40)/0.25)/N28</f>
        <v>0.029263885781348285</v>
      </c>
      <c r="O55" s="5">
        <f>O40/O28</f>
        <v>0.006934063234726462</v>
      </c>
      <c r="P55" s="19">
        <f>P40/P28</f>
        <v>0.016534006697041224</v>
      </c>
    </row>
    <row r="56" spans="1:16" ht="11.25">
      <c r="A56" s="3" t="s">
        <v>49</v>
      </c>
      <c r="B56" s="5"/>
      <c r="C56" s="24">
        <f>(C40)/C27</f>
        <v>0.009423576853180944</v>
      </c>
      <c r="D56" s="24">
        <f>((D40)/0.75)/D27</f>
        <v>0.007846368523283652</v>
      </c>
      <c r="E56" s="24">
        <f>((E40)/0.5)/E27</f>
        <v>0.007169200131623369</v>
      </c>
      <c r="F56" s="25">
        <f>((F40)/0.25)/F27</f>
        <v>-0.0006929278967979728</v>
      </c>
      <c r="G56" s="24">
        <f>(G40)/G27</f>
        <v>0.009251710099722794</v>
      </c>
      <c r="H56" s="26">
        <f>((H40)/0.75)/H27</f>
        <v>0.009150376102250554</v>
      </c>
      <c r="I56" s="26">
        <f>((I40)/0.5)/I27</f>
        <v>0.009929914920596063</v>
      </c>
      <c r="J56" s="26">
        <f>((J40)/0.25)/J27</f>
        <v>0.009341314316985327</v>
      </c>
      <c r="K56" s="27">
        <f>(K40)/K27</f>
        <v>0.0131243424454787</v>
      </c>
      <c r="L56" s="24">
        <f>((L40)/0.75)/L27</f>
        <v>0.01901538682854163</v>
      </c>
      <c r="M56" s="24">
        <f>((M40)/0.5)/M27</f>
        <v>0.020358809336759084</v>
      </c>
      <c r="N56" s="24">
        <f>((N40)/0.25)/N27</f>
        <v>0.02406033827475018</v>
      </c>
      <c r="O56" s="5">
        <f>O40/O27</f>
        <v>0.005365628479105005</v>
      </c>
      <c r="P56" s="19">
        <f>P40/P27</f>
        <v>0.012383646350689077</v>
      </c>
    </row>
    <row r="57" spans="1:16" ht="11.25">
      <c r="A57" s="3" t="s">
        <v>50</v>
      </c>
      <c r="B57" s="5"/>
      <c r="C57" s="24">
        <f>(C40)/C31</f>
        <v>0.09649957607322686</v>
      </c>
      <c r="D57" s="24">
        <f>((D40)/0.75)/D31</f>
        <v>0.0837167141624293</v>
      </c>
      <c r="E57" s="24">
        <f>((E40)/0.5)/E31</f>
        <v>0.07717148298418482</v>
      </c>
      <c r="F57" s="25">
        <f>((F40)/0.25)/F31</f>
        <v>-0.00707618187292984</v>
      </c>
      <c r="G57" s="24">
        <f>(G40)/G31</f>
        <v>0.11149045480991954</v>
      </c>
      <c r="H57" s="26">
        <f>((H40)/0.75)/H31</f>
        <v>0.11298463498129131</v>
      </c>
      <c r="I57" s="26">
        <f>((I40)/0.5)/I31</f>
        <v>0.12493683374642058</v>
      </c>
      <c r="J57" s="26">
        <f>((J40)/0.25)/J31</f>
        <v>0.10837680874101782</v>
      </c>
      <c r="K57" s="27">
        <f>(K40)/K31</f>
        <v>0.16007164331862087</v>
      </c>
      <c r="L57" s="24">
        <f>((L40)/0.75)/L31</f>
        <v>0.20775299603974728</v>
      </c>
      <c r="M57" s="24">
        <f>((M40)/0.5)/M31</f>
        <v>0.23608364402658455</v>
      </c>
      <c r="N57" s="24">
        <f>((N40)/0.25)/N31</f>
        <v>0.2719711236660389</v>
      </c>
      <c r="O57" s="5">
        <f>O40/O31</f>
        <v>0.06068796068796069</v>
      </c>
      <c r="P57" s="19">
        <f>P40/P31</f>
        <v>0.1333451390118647</v>
      </c>
    </row>
    <row r="58" spans="1:16" ht="11.25">
      <c r="A58" s="3" t="s">
        <v>51</v>
      </c>
      <c r="B58" s="5"/>
      <c r="C58" s="24">
        <f aca="true" t="shared" si="20" ref="C58:P58">(C33)/C28</f>
        <v>0.10351204837521073</v>
      </c>
      <c r="D58" s="24">
        <f t="shared" si="20"/>
        <v>0.0821800446757871</v>
      </c>
      <c r="E58" s="24">
        <f t="shared" si="20"/>
        <v>0.05741037172548721</v>
      </c>
      <c r="F58" s="25">
        <f t="shared" si="20"/>
        <v>0.0328979440151275</v>
      </c>
      <c r="G58" s="24">
        <f t="shared" si="20"/>
        <v>0.1071589872565776</v>
      </c>
      <c r="H58" s="24">
        <f t="shared" si="20"/>
        <v>0.08500310131873466</v>
      </c>
      <c r="I58" s="24">
        <f t="shared" si="20"/>
        <v>0.05908514669843975</v>
      </c>
      <c r="J58" s="25">
        <f t="shared" si="20"/>
        <v>0.03068008155692111</v>
      </c>
      <c r="K58" s="24">
        <f t="shared" si="20"/>
        <v>0.11974143224584449</v>
      </c>
      <c r="L58" s="24">
        <f t="shared" si="20"/>
        <v>0.11554530083133718</v>
      </c>
      <c r="M58" s="24">
        <f t="shared" si="20"/>
        <v>0.08079214395151939</v>
      </c>
      <c r="N58" s="24">
        <f t="shared" si="20"/>
        <v>0.04185259140742742</v>
      </c>
      <c r="O58" s="5">
        <f t="shared" si="20"/>
        <v>0.09086336573440479</v>
      </c>
      <c r="P58" s="32">
        <f t="shared" si="20"/>
        <v>0.10323324367349179</v>
      </c>
    </row>
    <row r="59" spans="1:16" ht="11.25">
      <c r="A59" s="3" t="s">
        <v>52</v>
      </c>
      <c r="B59" s="5"/>
      <c r="C59" s="24">
        <f aca="true" t="shared" si="21" ref="C59:P59">(C34)/C28</f>
        <v>0.06495119070452962</v>
      </c>
      <c r="D59" s="24">
        <f t="shared" si="21"/>
        <v>0.05106580379848671</v>
      </c>
      <c r="E59" s="24">
        <f t="shared" si="21"/>
        <v>0.03452583614943551</v>
      </c>
      <c r="F59" s="25">
        <f t="shared" si="21"/>
        <v>0.018054629518302747</v>
      </c>
      <c r="G59" s="24">
        <f t="shared" si="21"/>
        <v>0.0798522861115293</v>
      </c>
      <c r="H59" s="24">
        <f t="shared" si="21"/>
        <v>0.06346623080143</v>
      </c>
      <c r="I59" s="24">
        <f t="shared" si="21"/>
        <v>0.04431508963231018</v>
      </c>
      <c r="J59" s="25">
        <f t="shared" si="21"/>
        <v>0.023081275911580802</v>
      </c>
      <c r="K59" s="24">
        <f t="shared" si="21"/>
        <v>0.08582339550663269</v>
      </c>
      <c r="L59" s="24">
        <f t="shared" si="21"/>
        <v>0.0811187825841905</v>
      </c>
      <c r="M59" s="24">
        <f t="shared" si="21"/>
        <v>0.056129839221694615</v>
      </c>
      <c r="N59" s="24">
        <f t="shared" si="21"/>
        <v>0.02911613102047881</v>
      </c>
      <c r="O59" s="5">
        <f t="shared" si="21"/>
        <v>0.06419857060977179</v>
      </c>
      <c r="P59" s="32">
        <f t="shared" si="21"/>
        <v>0.07348081462370314</v>
      </c>
    </row>
    <row r="60" spans="1:16" ht="11.25">
      <c r="A60" s="3" t="s">
        <v>53</v>
      </c>
      <c r="B60" s="5"/>
      <c r="C60" s="24">
        <f aca="true" t="shared" si="22" ref="C60:P60">(C35)/C28</f>
        <v>0.03856085767068111</v>
      </c>
      <c r="D60" s="24">
        <f t="shared" si="22"/>
        <v>0.031114240877300397</v>
      </c>
      <c r="E60" s="24">
        <f t="shared" si="22"/>
        <v>0.022884535576051697</v>
      </c>
      <c r="F60" s="25">
        <f t="shared" si="22"/>
        <v>0.014843314496824755</v>
      </c>
      <c r="G60" s="24">
        <f t="shared" si="22"/>
        <v>0.02730670114504831</v>
      </c>
      <c r="H60" s="24">
        <f t="shared" si="22"/>
        <v>0.021536870517304654</v>
      </c>
      <c r="I60" s="24">
        <f t="shared" si="22"/>
        <v>0.014770057066129574</v>
      </c>
      <c r="J60" s="25">
        <f t="shared" si="22"/>
        <v>0.00759880564534031</v>
      </c>
      <c r="K60" s="24">
        <f t="shared" si="22"/>
        <v>0.0339180367392118</v>
      </c>
      <c r="L60" s="24">
        <f t="shared" si="22"/>
        <v>0.03442651824714668</v>
      </c>
      <c r="M60" s="24">
        <f t="shared" si="22"/>
        <v>0.024662304729824776</v>
      </c>
      <c r="N60" s="24">
        <f t="shared" si="22"/>
        <v>0.01273646038694861</v>
      </c>
      <c r="O60" s="5">
        <f t="shared" si="22"/>
        <v>0.026664795124633003</v>
      </c>
      <c r="P60" s="32">
        <f t="shared" si="22"/>
        <v>0.02975242904978866</v>
      </c>
    </row>
    <row r="61" spans="1:16" ht="11.25">
      <c r="A61" s="3" t="s">
        <v>54</v>
      </c>
      <c r="B61" s="5"/>
      <c r="C61" s="24">
        <f>(C38)/(C37)</f>
        <v>0.48526826311003335</v>
      </c>
      <c r="D61" s="24">
        <f>(D38/0.75)/(D37/0.75)</f>
        <v>0.4770206654432298</v>
      </c>
      <c r="E61" s="24">
        <f>(E38/0.5)/(E37/0.5)</f>
        <v>0.4147791619479049</v>
      </c>
      <c r="F61" s="25">
        <f>(F38/0.25)/(F37/0.25)</f>
        <v>0.3537190082644628</v>
      </c>
      <c r="G61" s="24">
        <f>(G38)/(G37)</f>
        <v>0.5788080026899798</v>
      </c>
      <c r="H61" s="24">
        <f>(H38/0.75)/(H37/0.75)</f>
        <v>0.5960684469181123</v>
      </c>
      <c r="I61" s="24">
        <f>(I38/0.5)/(I37/0.5)</f>
        <v>0.5879963065558633</v>
      </c>
      <c r="J61" s="25">
        <f>(J38/0.25)/(J37/0.25)</f>
        <v>0.6067216981132075</v>
      </c>
      <c r="K61" s="24">
        <f>(K38)/(K37)</f>
        <v>0.5698344424606395</v>
      </c>
      <c r="L61" s="24">
        <f>((L38)/0.75)/((L37)/0.75)</f>
        <v>0.5987657848122964</v>
      </c>
      <c r="M61" s="24">
        <f>((M38)/0.5)/((M37)/0.5)</f>
        <v>0.600438153016515</v>
      </c>
      <c r="N61" s="24">
        <f>(N38/0.25)/(N37/0.25)</f>
        <v>0.606140350877193</v>
      </c>
      <c r="O61" s="5">
        <f>O38/O37</f>
        <v>0.7629682145811179</v>
      </c>
      <c r="P61" s="19">
        <f>P38/P37</f>
        <v>0.661464835622139</v>
      </c>
    </row>
    <row r="62" spans="1:16" ht="11.25">
      <c r="A62" s="4" t="s">
        <v>55</v>
      </c>
      <c r="B62" s="4"/>
      <c r="C62" s="28">
        <f aca="true" t="shared" si="23" ref="C62:P62">(C36)/C28</f>
        <v>0.02804591203222322</v>
      </c>
      <c r="D62" s="28">
        <f t="shared" si="23"/>
        <v>0.02126383580707917</v>
      </c>
      <c r="E62" s="28">
        <f t="shared" si="23"/>
        <v>0.014508219630561273</v>
      </c>
      <c r="F62" s="29">
        <f t="shared" si="23"/>
        <v>0.00631769939555575</v>
      </c>
      <c r="G62" s="28">
        <f t="shared" si="23"/>
        <v>0.025367292177717164</v>
      </c>
      <c r="H62" s="28">
        <f t="shared" si="23"/>
        <v>0.01806855262803053</v>
      </c>
      <c r="I62" s="28">
        <f t="shared" si="23"/>
        <v>0.011863262618549628</v>
      </c>
      <c r="J62" s="29">
        <f t="shared" si="23"/>
        <v>0.005458513883025613</v>
      </c>
      <c r="K62" s="28">
        <f t="shared" si="23"/>
        <v>0.031733557464458925</v>
      </c>
      <c r="L62" s="28">
        <f t="shared" si="23"/>
        <v>0.027222770184585035</v>
      </c>
      <c r="M62" s="28">
        <f t="shared" si="23"/>
        <v>0.020457509133834918</v>
      </c>
      <c r="N62" s="28">
        <f t="shared" si="23"/>
        <v>0.011326457811794206</v>
      </c>
      <c r="O62" s="4">
        <f t="shared" si="23"/>
        <v>0.012932355452620744</v>
      </c>
      <c r="P62" s="33">
        <f t="shared" si="23"/>
        <v>0.023011472800131744</v>
      </c>
    </row>
    <row r="63" spans="1:16" ht="11.25">
      <c r="A63" s="14" t="s">
        <v>56</v>
      </c>
      <c r="B63" s="5"/>
      <c r="C63" s="5"/>
      <c r="D63" s="5"/>
      <c r="E63" s="5"/>
      <c r="F63" s="19"/>
      <c r="K63" s="20"/>
      <c r="L63" s="5"/>
      <c r="M63" s="5"/>
      <c r="N63" s="5"/>
      <c r="O63" s="5"/>
      <c r="P63" s="19"/>
    </row>
    <row r="64" spans="1:16" ht="11.25">
      <c r="A64" s="3" t="s">
        <v>57</v>
      </c>
      <c r="B64" s="5"/>
      <c r="C64" s="5">
        <v>430</v>
      </c>
      <c r="D64" s="21">
        <v>409</v>
      </c>
      <c r="E64" s="21">
        <v>391</v>
      </c>
      <c r="F64" s="19">
        <f>7+409</f>
        <v>416</v>
      </c>
      <c r="G64" s="3">
        <v>413</v>
      </c>
      <c r="H64" s="3">
        <v>392</v>
      </c>
      <c r="I64" s="3">
        <v>373</v>
      </c>
      <c r="J64" s="3">
        <v>366</v>
      </c>
      <c r="K64" s="20">
        <v>350</v>
      </c>
      <c r="L64" s="5">
        <v>341</v>
      </c>
      <c r="M64" s="5">
        <v>360</v>
      </c>
      <c r="N64" s="5">
        <v>347</v>
      </c>
      <c r="O64" s="5">
        <v>334</v>
      </c>
      <c r="P64" s="19">
        <v>299</v>
      </c>
    </row>
    <row r="65" spans="1:16" ht="11.25">
      <c r="A65" s="3" t="s">
        <v>58</v>
      </c>
      <c r="B65" s="5"/>
      <c r="C65" s="5">
        <v>20</v>
      </c>
      <c r="D65" s="21">
        <v>25</v>
      </c>
      <c r="E65" s="21">
        <v>23</v>
      </c>
      <c r="F65" s="19">
        <v>20</v>
      </c>
      <c r="G65" s="3">
        <v>20</v>
      </c>
      <c r="H65" s="3">
        <v>20</v>
      </c>
      <c r="I65" s="3">
        <v>20</v>
      </c>
      <c r="J65" s="3">
        <v>20</v>
      </c>
      <c r="K65" s="20">
        <v>18</v>
      </c>
      <c r="L65" s="5">
        <v>18</v>
      </c>
      <c r="M65" s="5">
        <v>18</v>
      </c>
      <c r="N65" s="5">
        <v>18</v>
      </c>
      <c r="O65" s="5">
        <v>18</v>
      </c>
      <c r="P65" s="19">
        <v>18</v>
      </c>
    </row>
    <row r="66" spans="1:16" ht="11.25">
      <c r="A66" s="3" t="s">
        <v>59</v>
      </c>
      <c r="B66" s="5"/>
      <c r="C66" s="5">
        <f aca="true" t="shared" si="24" ref="C66:P66">C12/C64</f>
        <v>1062.0162790697675</v>
      </c>
      <c r="D66" s="5">
        <f t="shared" si="24"/>
        <v>1097.8655256723716</v>
      </c>
      <c r="E66" s="5">
        <f t="shared" si="24"/>
        <v>1142.3708439897698</v>
      </c>
      <c r="F66" s="19">
        <f t="shared" si="24"/>
        <v>1035.548076923077</v>
      </c>
      <c r="G66" s="3">
        <f t="shared" si="24"/>
        <v>1024.496368038741</v>
      </c>
      <c r="H66" s="3">
        <f t="shared" si="24"/>
        <v>1026.392857142857</v>
      </c>
      <c r="I66" s="3">
        <f t="shared" si="24"/>
        <v>1071.2868632707775</v>
      </c>
      <c r="J66" s="3">
        <f t="shared" si="24"/>
        <v>1065.9453551912568</v>
      </c>
      <c r="K66" s="20">
        <f t="shared" si="24"/>
        <v>1119.5057142857142</v>
      </c>
      <c r="L66" s="5">
        <f t="shared" si="24"/>
        <v>1084.2844574780058</v>
      </c>
      <c r="M66" s="5">
        <f t="shared" si="24"/>
        <v>953.9583333333334</v>
      </c>
      <c r="N66" s="5">
        <f t="shared" si="24"/>
        <v>931.8559077809798</v>
      </c>
      <c r="O66" s="5">
        <f t="shared" si="24"/>
        <v>892.1107784431138</v>
      </c>
      <c r="P66" s="19">
        <f t="shared" si="24"/>
        <v>312.58528428093643</v>
      </c>
    </row>
    <row r="67" spans="1:16" ht="11.25">
      <c r="A67" s="3" t="s">
        <v>60</v>
      </c>
      <c r="B67" s="5"/>
      <c r="C67" s="5">
        <f aca="true" t="shared" si="25" ref="C67:P67">C16/C64</f>
        <v>1052.4581395348837</v>
      </c>
      <c r="D67" s="5">
        <f t="shared" si="25"/>
        <v>1075.0537897310514</v>
      </c>
      <c r="E67" s="5">
        <f t="shared" si="25"/>
        <v>1142.6700767263428</v>
      </c>
      <c r="F67" s="19">
        <f t="shared" si="25"/>
        <v>979.0504807692307</v>
      </c>
      <c r="G67" s="3">
        <f t="shared" si="25"/>
        <v>1009.0944309927361</v>
      </c>
      <c r="H67" s="3">
        <f t="shared" si="25"/>
        <v>1029.0127551020407</v>
      </c>
      <c r="I67" s="3">
        <f t="shared" si="25"/>
        <v>1130.289544235925</v>
      </c>
      <c r="J67" s="3">
        <f t="shared" si="25"/>
        <v>1107.6147540983607</v>
      </c>
      <c r="K67" s="20">
        <f t="shared" si="25"/>
        <v>1249.2114285714285</v>
      </c>
      <c r="L67" s="5">
        <f t="shared" si="25"/>
        <v>1195.2844574780058</v>
      </c>
      <c r="M67" s="5">
        <f t="shared" si="25"/>
        <v>1132.6138888888888</v>
      </c>
      <c r="N67" s="5">
        <f t="shared" si="25"/>
        <v>1049.8299711815562</v>
      </c>
      <c r="O67" s="5">
        <f t="shared" si="25"/>
        <v>1035.7395209580839</v>
      </c>
      <c r="P67" s="19">
        <f t="shared" si="25"/>
        <v>335.31772575250835</v>
      </c>
    </row>
    <row r="68" spans="1:16" ht="11.25">
      <c r="A68" s="4" t="s">
        <v>61</v>
      </c>
      <c r="B68" s="4"/>
      <c r="C68" s="4">
        <f aca="true" t="shared" si="26" ref="C68:P68">C40/C64</f>
        <v>12.969767441860466</v>
      </c>
      <c r="D68" s="4">
        <f t="shared" si="26"/>
        <v>8.24205378973105</v>
      </c>
      <c r="E68" s="4">
        <f t="shared" si="26"/>
        <v>5.3631713554987215</v>
      </c>
      <c r="F68" s="22">
        <f t="shared" si="26"/>
        <v>-0.22596153846153846</v>
      </c>
      <c r="G68" s="4">
        <f t="shared" si="26"/>
        <v>12.295399515738499</v>
      </c>
      <c r="H68" s="4">
        <f t="shared" si="26"/>
        <v>9.051020408163266</v>
      </c>
      <c r="I68" s="4">
        <f t="shared" si="26"/>
        <v>6.959785522788204</v>
      </c>
      <c r="J68" s="4">
        <f t="shared" si="26"/>
        <v>3.0081967213114753</v>
      </c>
      <c r="K68" s="23">
        <f t="shared" si="26"/>
        <v>17.874285714285715</v>
      </c>
      <c r="L68" s="4">
        <f t="shared" si="26"/>
        <v>14.730205278592376</v>
      </c>
      <c r="M68" s="4">
        <f t="shared" si="26"/>
        <v>10.113888888888889</v>
      </c>
      <c r="N68" s="4">
        <f t="shared" si="26"/>
        <v>4.994236311239193</v>
      </c>
      <c r="O68" s="4">
        <f t="shared" si="26"/>
        <v>4.437125748502994</v>
      </c>
      <c r="P68" s="22">
        <f t="shared" si="26"/>
        <v>5.036789297658863</v>
      </c>
    </row>
    <row r="69" spans="1:16" ht="11.25">
      <c r="A69" s="14" t="s">
        <v>62</v>
      </c>
      <c r="B69" s="5"/>
      <c r="C69" s="5"/>
      <c r="D69" s="5"/>
      <c r="E69" s="5"/>
      <c r="F69" s="19"/>
      <c r="K69" s="20"/>
      <c r="L69" s="5"/>
      <c r="M69" s="5"/>
      <c r="N69" s="5"/>
      <c r="O69" s="5"/>
      <c r="P69" s="19"/>
    </row>
    <row r="70" spans="1:16" ht="11.25">
      <c r="A70" s="3" t="s">
        <v>63</v>
      </c>
      <c r="B70" s="5"/>
      <c r="C70" s="26">
        <f aca="true" t="shared" si="27" ref="C70:K70">(C10-G10)/G10</f>
        <v>0.1026595300567222</v>
      </c>
      <c r="D70" s="24">
        <f t="shared" si="27"/>
        <v>0.1460485155006088</v>
      </c>
      <c r="E70" s="24">
        <f t="shared" si="27"/>
        <v>0.12356750556299709</v>
      </c>
      <c r="F70" s="25">
        <f t="shared" si="27"/>
        <v>0.12754486909301208</v>
      </c>
      <c r="G70" s="26">
        <f t="shared" si="27"/>
        <v>0.05253130001645401</v>
      </c>
      <c r="H70" s="26">
        <f t="shared" si="27"/>
        <v>0.06741606732609126</v>
      </c>
      <c r="I70" s="26">
        <f t="shared" si="27"/>
        <v>0.11357871482940454</v>
      </c>
      <c r="J70" s="26">
        <f t="shared" si="27"/>
        <v>0.17855748325489298</v>
      </c>
      <c r="K70" s="27">
        <f t="shared" si="27"/>
        <v>0.27789658295083375</v>
      </c>
      <c r="L70" s="24">
        <f>(L10-204280)/204280</f>
        <v>1.448271979635794</v>
      </c>
      <c r="M70" s="24">
        <f>(M10-220579)/220579</f>
        <v>1.2430376418426052</v>
      </c>
      <c r="N70" s="24">
        <f>(N10-143405)/143405</f>
        <v>2.018116523133782</v>
      </c>
      <c r="O70" s="5">
        <f>(O10-P10)/P10</f>
        <v>2.125935497363429</v>
      </c>
      <c r="P70" s="19">
        <f>(P10-109339)/109339</f>
        <v>0.224503608044705</v>
      </c>
    </row>
    <row r="71" spans="1:16" ht="11.25">
      <c r="A71" s="3" t="s">
        <v>64</v>
      </c>
      <c r="B71" s="5"/>
      <c r="C71" s="26">
        <f aca="true" t="shared" si="28" ref="C71:I73">(C12-G12)/G12</f>
        <v>0.07929248883878455</v>
      </c>
      <c r="D71" s="24">
        <f t="shared" si="28"/>
        <v>0.11602203078942006</v>
      </c>
      <c r="E71" s="24">
        <f t="shared" si="28"/>
        <v>0.1178132585900548</v>
      </c>
      <c r="F71" s="25">
        <f t="shared" si="28"/>
        <v>0.1041995611786659</v>
      </c>
      <c r="G71" s="26">
        <f t="shared" si="28"/>
        <v>0.07985667143918107</v>
      </c>
      <c r="H71" s="26">
        <f t="shared" si="28"/>
        <v>0.08818334996659824</v>
      </c>
      <c r="I71" s="26">
        <f t="shared" si="28"/>
        <v>0.16354371405692655</v>
      </c>
      <c r="J71" s="26">
        <f>J12/N12-1</f>
        <v>0.20652906721426056</v>
      </c>
      <c r="K71" s="27">
        <f>K12/O12-1</f>
        <v>0.3150101521990838</v>
      </c>
      <c r="L71" s="24">
        <f>L12/118651-1</f>
        <v>2.116206353085941</v>
      </c>
      <c r="M71" s="24">
        <f>M12/112405-1</f>
        <v>2.0552466527289712</v>
      </c>
      <c r="N71" s="24">
        <f>N12/107474-1</f>
        <v>2.00867186482312</v>
      </c>
      <c r="O71" s="5">
        <f>O12/P12-1</f>
        <v>2.1880530263312754</v>
      </c>
      <c r="P71" s="19">
        <f>P12/71510-1</f>
        <v>0.3069920290868411</v>
      </c>
    </row>
    <row r="72" spans="2:16" ht="11.25">
      <c r="B72" s="5" t="s">
        <v>15</v>
      </c>
      <c r="C72" s="26">
        <f t="shared" si="28"/>
        <v>0.07401597782074198</v>
      </c>
      <c r="D72" s="24">
        <f t="shared" si="28"/>
        <v>0.11046334799532792</v>
      </c>
      <c r="E72" s="24">
        <f t="shared" si="28"/>
        <v>0.11887168101705305</v>
      </c>
      <c r="F72" s="25">
        <f t="shared" si="28"/>
        <v>0.10925076472882304</v>
      </c>
      <c r="G72" s="26">
        <f t="shared" si="28"/>
        <v>0.0826106187700425</v>
      </c>
      <c r="H72" s="26">
        <f t="shared" si="28"/>
        <v>0.0895691136378193</v>
      </c>
      <c r="I72" s="26">
        <f t="shared" si="28"/>
        <v>0.15719620764372594</v>
      </c>
      <c r="J72" s="26">
        <f>(J13-N13)/N13</f>
        <v>0.19386614215625722</v>
      </c>
      <c r="K72" s="27">
        <f>(K13-O13)/O13</f>
        <v>0.30130809870012404</v>
      </c>
      <c r="L72" s="24">
        <f>(L13-112009)/112009</f>
        <v>2.2059655920506387</v>
      </c>
      <c r="M72" s="24">
        <f>(M13-106254)/106254</f>
        <v>2.157688181150827</v>
      </c>
      <c r="N72" s="24">
        <f>(N13-101086)/101086</f>
        <v>2.123310844231644</v>
      </c>
      <c r="O72" s="5">
        <f>(O13-P13)/P13</f>
        <v>2.3645805715339656</v>
      </c>
      <c r="P72" s="19">
        <f>(P13-66152)/66152</f>
        <v>0.31135868907969527</v>
      </c>
    </row>
    <row r="73" spans="2:16" ht="11.25">
      <c r="B73" s="5" t="s">
        <v>16</v>
      </c>
      <c r="C73" s="34">
        <f t="shared" si="28"/>
        <v>0.26128166415031034</v>
      </c>
      <c r="D73" s="34">
        <f t="shared" si="28"/>
        <v>0.3122237257555255</v>
      </c>
      <c r="E73" s="34">
        <f t="shared" si="28"/>
        <v>0.08154620068837702</v>
      </c>
      <c r="F73" s="25">
        <f t="shared" si="28"/>
        <v>-0.03998485422188565</v>
      </c>
      <c r="G73" s="24">
        <f t="shared" si="28"/>
        <v>-0.007244566575068698</v>
      </c>
      <c r="H73" s="26">
        <f t="shared" si="28"/>
        <v>0.041431792559188274</v>
      </c>
      <c r="I73" s="26">
        <f t="shared" si="28"/>
        <v>0.4328528072837633</v>
      </c>
      <c r="J73" s="26">
        <f>(J14-N14)/N14</f>
        <v>0.7304416197090814</v>
      </c>
      <c r="K73" s="27">
        <f>(K14-O14)/O14</f>
        <v>0.9715974388441964</v>
      </c>
      <c r="L73" s="24">
        <f>(L14-6642)/6642</f>
        <v>0.6025293586269196</v>
      </c>
      <c r="M73" s="24">
        <f>(M14-6151)/6151</f>
        <v>0.2856446106324175</v>
      </c>
      <c r="N73" s="24">
        <f>(N14-6389)/6389</f>
        <v>0.19439661918923148</v>
      </c>
      <c r="O73" s="5">
        <f>(O14-P14)/P14</f>
        <v>-0.09279118260351504</v>
      </c>
      <c r="P73" s="19">
        <f>(P14-5358)/5358</f>
        <v>0.2530795072788354</v>
      </c>
    </row>
    <row r="74" spans="1:16" ht="11.25">
      <c r="A74" s="3" t="s">
        <v>65</v>
      </c>
      <c r="B74" s="5"/>
      <c r="C74" s="26">
        <f aca="true" t="shared" si="29" ref="C74:I75">(C16-G16)/G16</f>
        <v>0.08590398218621928</v>
      </c>
      <c r="D74" s="34">
        <f t="shared" si="29"/>
        <v>0.0900506479114864</v>
      </c>
      <c r="E74" s="24">
        <f t="shared" si="29"/>
        <v>0.05973937257766877</v>
      </c>
      <c r="F74" s="25">
        <f t="shared" si="29"/>
        <v>0.004681945893676907</v>
      </c>
      <c r="G74" s="26">
        <f t="shared" si="29"/>
        <v>-0.04681353265145555</v>
      </c>
      <c r="H74" s="26">
        <f t="shared" si="29"/>
        <v>-0.010351037311821626</v>
      </c>
      <c r="I74" s="26">
        <f t="shared" si="29"/>
        <v>0.033984808984134536</v>
      </c>
      <c r="J74" s="26">
        <f>J16/N16-1</f>
        <v>0.11281091215539218</v>
      </c>
      <c r="K74" s="27">
        <f>K16/O16-1</f>
        <v>0.2638833082324239</v>
      </c>
      <c r="L74" s="24">
        <f>L16/151685-1</f>
        <v>1.6870949665425057</v>
      </c>
      <c r="M74" s="24">
        <f>M16/157845-1</f>
        <v>1.5831733662770437</v>
      </c>
      <c r="N74" s="24">
        <f>N16/104986-1</f>
        <v>2.469900748671251</v>
      </c>
      <c r="O74" s="5">
        <f>O16/P16</f>
        <v>3.4503989626969878</v>
      </c>
      <c r="P74" s="19">
        <f>P16/79718-1</f>
        <v>0.2576833337514739</v>
      </c>
    </row>
    <row r="75" spans="2:16" ht="11.25">
      <c r="B75" s="5" t="s">
        <v>15</v>
      </c>
      <c r="C75" s="26">
        <f t="shared" si="29"/>
        <v>0.08305444402510379</v>
      </c>
      <c r="D75" s="24">
        <f t="shared" si="29"/>
        <v>0.08678682392221725</v>
      </c>
      <c r="E75" s="24">
        <f t="shared" si="29"/>
        <v>0.04942852028317733</v>
      </c>
      <c r="F75" s="25">
        <f t="shared" si="29"/>
        <v>-0.007899741675650388</v>
      </c>
      <c r="G75" s="26">
        <f t="shared" si="29"/>
        <v>-0.04622745184044473</v>
      </c>
      <c r="H75" s="26">
        <f t="shared" si="29"/>
        <v>-0.005964347084538026</v>
      </c>
      <c r="I75" s="26">
        <f t="shared" si="29"/>
        <v>0.029688695419436778</v>
      </c>
      <c r="J75" s="26">
        <f>(J17-N17)/N17</f>
        <v>0.1461108974134816</v>
      </c>
      <c r="K75" s="27">
        <f>(K17-O17)/O17</f>
        <v>0.24633370966783527</v>
      </c>
      <c r="L75" s="24">
        <f>(L17-148126)/148126</f>
        <v>1.6361813591131875</v>
      </c>
      <c r="M75" s="24">
        <f>(M17-153707)/153707</f>
        <v>1.5766100437846031</v>
      </c>
      <c r="N75" s="24">
        <f>(N17-100801)/100801</f>
        <v>2.404370988383052</v>
      </c>
      <c r="O75" s="5">
        <f>(O17-P17)/P17</f>
        <v>2.481850062585991</v>
      </c>
      <c r="P75" s="19">
        <f>(P17-74648)/74648</f>
        <v>0.2949710641946201</v>
      </c>
    </row>
    <row r="76" spans="2:16" ht="11.25">
      <c r="B76" s="5" t="s">
        <v>16</v>
      </c>
      <c r="C76" s="26">
        <f aca="true" t="shared" si="30" ref="C76:K76">(C21-G21)/G21</f>
        <v>0.15434952272317945</v>
      </c>
      <c r="D76" s="24">
        <f t="shared" si="30"/>
        <v>0.17331580676963523</v>
      </c>
      <c r="E76" s="24">
        <f t="shared" si="30"/>
        <v>0.3644995288830905</v>
      </c>
      <c r="F76" s="25">
        <f t="shared" si="30"/>
        <v>0.41421832326409</v>
      </c>
      <c r="G76" s="26">
        <f t="shared" si="30"/>
        <v>-0.06067783229008064</v>
      </c>
      <c r="H76" s="26">
        <f t="shared" si="30"/>
        <v>-0.11049400760011692</v>
      </c>
      <c r="I76" s="26">
        <f t="shared" si="30"/>
        <v>0.17943238160369293</v>
      </c>
      <c r="J76" s="26">
        <f t="shared" si="30"/>
        <v>-0.42807781511809534</v>
      </c>
      <c r="K76" s="27">
        <f t="shared" si="30"/>
        <v>0.895158704713049</v>
      </c>
      <c r="L76" s="24">
        <f>(L21-3558)/3558</f>
        <v>3.8074761101742554</v>
      </c>
      <c r="M76" s="24">
        <f>(M21-4137)/4137</f>
        <v>1.8276528885665941</v>
      </c>
      <c r="N76" s="24">
        <f>(N21-4185)/4185</f>
        <v>4.048267622461171</v>
      </c>
      <c r="O76" s="5">
        <f>(O21-P21)/P21</f>
        <v>1.6042304480935152</v>
      </c>
      <c r="P76" s="19">
        <f>(P21-5070)/5070</f>
        <v>-0.2913214990138067</v>
      </c>
    </row>
    <row r="77" spans="1:16" ht="11.25">
      <c r="A77" s="3" t="s">
        <v>66</v>
      </c>
      <c r="B77" s="5"/>
      <c r="C77" s="26">
        <f aca="true" t="shared" si="31" ref="C77:I77">C25/G25-1</f>
        <v>0.3332795026040616</v>
      </c>
      <c r="D77" s="24">
        <f t="shared" si="31"/>
        <v>0.5315447001131648</v>
      </c>
      <c r="E77" s="24">
        <f t="shared" si="31"/>
        <v>0.44947491774462534</v>
      </c>
      <c r="F77" s="25">
        <f t="shared" si="31"/>
        <v>0.4755293624356496</v>
      </c>
      <c r="G77" s="26">
        <f t="shared" si="31"/>
        <v>0.19210684634821318</v>
      </c>
      <c r="H77" s="26">
        <f t="shared" si="31"/>
        <v>0.026425321846868632</v>
      </c>
      <c r="I77" s="26">
        <f t="shared" si="31"/>
        <v>0.1454310789881259</v>
      </c>
      <c r="J77" s="26">
        <f>(J25-N25)/N25</f>
        <v>0.11960462144328822</v>
      </c>
      <c r="K77" s="27">
        <f>(K25-O25)/O25</f>
        <v>0.13507238459437312</v>
      </c>
      <c r="L77" s="24">
        <f>(L25-23150)/23150</f>
        <v>0.7850539956803456</v>
      </c>
      <c r="M77" s="24">
        <f>(M25-22950)/22950</f>
        <v>0.6880174291938997</v>
      </c>
      <c r="N77" s="24">
        <f>(N25-12634)/12634</f>
        <v>2.034905809719804</v>
      </c>
      <c r="O77" s="5">
        <f>(O25-P25)/P25</f>
        <v>1.9934587080948487</v>
      </c>
      <c r="P77" s="19">
        <f>(P25-10358)/10358</f>
        <v>0.18072987063139603</v>
      </c>
    </row>
    <row r="78" spans="1:16" ht="11.25">
      <c r="A78" s="4" t="s">
        <v>67</v>
      </c>
      <c r="B78" s="4"/>
      <c r="C78" s="28">
        <f aca="true" t="shared" si="32" ref="C78:I78">(C40-G40)/G40</f>
        <v>0.09826703426545884</v>
      </c>
      <c r="D78" s="28">
        <f t="shared" si="32"/>
        <v>-0.04988726042841037</v>
      </c>
      <c r="E78" s="28">
        <f t="shared" si="32"/>
        <v>-0.19221879815100154</v>
      </c>
      <c r="F78" s="29">
        <f t="shared" si="32"/>
        <v>-1.0853769300635785</v>
      </c>
      <c r="G78" s="28">
        <f t="shared" si="32"/>
        <v>-0.1882992327365729</v>
      </c>
      <c r="H78" s="28">
        <f t="shared" si="32"/>
        <v>-0.2936492136173601</v>
      </c>
      <c r="I78" s="28">
        <f t="shared" si="32"/>
        <v>-0.28700906344410876</v>
      </c>
      <c r="J78" s="28">
        <f>J40/N40-1</f>
        <v>-0.3646855164454703</v>
      </c>
      <c r="K78" s="30">
        <f>K40/O40-1</f>
        <v>3.2213225371120107</v>
      </c>
      <c r="L78" s="28">
        <f>L40/953-1</f>
        <v>4.270724029380903</v>
      </c>
      <c r="M78" s="28">
        <f>M40/731-1</f>
        <v>3.980848153214774</v>
      </c>
      <c r="N78" s="28">
        <f>N40/410-1</f>
        <v>3.2268292682926827</v>
      </c>
      <c r="O78" s="4">
        <f>(O40-P40)/P40</f>
        <v>-0.01593625498007968</v>
      </c>
      <c r="P78" s="22">
        <f>(P40-1507)/1507</f>
        <v>-0.0006635700066357001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2017-06-16T16:05:56Z</dcterms:created>
  <dcterms:modified xsi:type="dcterms:W3CDTF">2017-06-16T16:06:01Z</dcterms:modified>
  <cp:category/>
  <cp:version/>
  <cp:contentType/>
  <cp:contentStatus/>
</cp:coreProperties>
</file>