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redicorp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<sst xmlns="http://schemas.openxmlformats.org/spreadsheetml/2006/main" count="89" uniqueCount="68">
  <si>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 18-16</t>
  </si>
  <si>
    <t>CREDICORP BANK</t>
  </si>
  <si>
    <t>ESTADISTICA FINANCIERA. 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</si>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</sst>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6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"/>
    <numFmt numFmtId="208" formatCode="_ * #,##0.0_ ;_ * \-#,##0.0_ ;_ * &quot;-&quot;??_ ;_ @_ "/>
    <numFmt numFmtId="209" formatCode="_ * #,##0_ ;_ * \-#,##0_ ;_ * &quot;-&quot;??_ ;_ @_ "/>
    <numFmt numFmtId="210" formatCode="0.000%"/>
    <numFmt numFmtId="211" formatCode="0.0000%"/>
    <numFmt numFmtId="212" formatCode="0.00000%"/>
    <numFmt numFmtId="213" formatCode="0.000000%"/>
    <numFmt numFmtId="214" formatCode="_(* #,##0.0000_);_(* \(#,##0.0000\);_(* &quot;-&quot;??_);_(@_)"/>
    <numFmt numFmtId="215" formatCode="_ * #,##0.0_ ;_ * \-#,##0.0_ ;_ * &quot;-&quot;?_ ;_ @_ "/>
    <numFmt numFmtId="216" formatCode="#,##0_ ;\-#,##0\ "/>
    <numFmt numFmtId="217" formatCode="#,##0.00000_ ;\-#,##0.00000\ "/>
    <numFmt numFmtId="218" formatCode="#,##0.0000_ ;\-#,##0.0000\ "/>
    <numFmt numFmtId="219" formatCode="#,##0.000_ ;\-#,##0.000\ "/>
    <numFmt numFmtId="220" formatCode="#,##0.00_ ;\-#,##0.00\ "/>
    <numFmt numFmtId="221" formatCode="#,##0.0_ ;\-#,##0.0\ "/>
    <numFmt numFmtId="222" formatCode="_-* #,##0.0\ _€_-;\-* #,##0.0\ _€_-;_-* &quot;-&quot;??\ _€_-;_-@_-"/>
    <numFmt numFmtId="223" formatCode="_-* #,##0\ _€_-;\-* #,##0\ _€_-;_-* &quot;-&quot;??\ _€_-;_-@_-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95" fontId="1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195" fontId="1" fillId="0" borderId="0" xfId="46" applyNumberFormat="1" applyFont="1" applyFill="1" applyAlignment="1">
      <alignment/>
    </xf>
    <xf numFmtId="195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/>
    </xf>
    <xf numFmtId="195" fontId="3" fillId="0" borderId="0" xfId="46" applyNumberFormat="1" applyFont="1" applyBorder="1" applyAlignment="1">
      <alignment/>
    </xf>
    <xf numFmtId="49" fontId="3" fillId="0" borderId="11" xfId="46" applyNumberFormat="1" applyFont="1" applyBorder="1" applyAlignment="1">
      <alignment/>
    </xf>
    <xf numFmtId="49" fontId="3" fillId="0" borderId="0" xfId="46" applyNumberFormat="1" applyFont="1" applyAlignment="1">
      <alignment/>
    </xf>
    <xf numFmtId="195" fontId="3" fillId="0" borderId="10" xfId="46" applyNumberFormat="1" applyFont="1" applyBorder="1" applyAlignment="1">
      <alignment horizontal="center"/>
    </xf>
    <xf numFmtId="195" fontId="3" fillId="0" borderId="12" xfId="46" applyNumberFormat="1" applyFont="1" applyBorder="1" applyAlignment="1">
      <alignment horizontal="center"/>
    </xf>
    <xf numFmtId="195" fontId="3" fillId="0" borderId="13" xfId="46" applyNumberFormat="1" applyFont="1" applyBorder="1" applyAlignment="1">
      <alignment horizontal="center"/>
    </xf>
    <xf numFmtId="195" fontId="3" fillId="0" borderId="14" xfId="46" applyNumberFormat="1" applyFont="1" applyBorder="1" applyAlignment="1">
      <alignment horizontal="center"/>
    </xf>
    <xf numFmtId="195" fontId="3" fillId="0" borderId="10" xfId="46" applyNumberFormat="1" applyFont="1" applyBorder="1" applyAlignment="1">
      <alignment horizontal="right"/>
    </xf>
    <xf numFmtId="195" fontId="3" fillId="0" borderId="15" xfId="46" applyNumberFormat="1" applyFont="1" applyBorder="1" applyAlignment="1">
      <alignment horizontal="right"/>
    </xf>
    <xf numFmtId="195" fontId="2" fillId="0" borderId="0" xfId="46" applyNumberFormat="1" applyFont="1" applyAlignment="1">
      <alignment/>
    </xf>
    <xf numFmtId="195" fontId="2" fillId="0" borderId="0" xfId="46" applyNumberFormat="1" applyFont="1" applyBorder="1" applyAlignment="1">
      <alignment/>
    </xf>
    <xf numFmtId="195" fontId="2" fillId="0" borderId="16" xfId="46" applyNumberFormat="1" applyFont="1" applyBorder="1" applyAlignment="1">
      <alignment/>
    </xf>
    <xf numFmtId="195" fontId="2" fillId="0" borderId="17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7" xfId="46" applyNumberFormat="1" applyFont="1" applyBorder="1" applyAlignment="1">
      <alignment/>
    </xf>
    <xf numFmtId="195" fontId="3" fillId="0" borderId="0" xfId="46" applyNumberFormat="1" applyFont="1" applyFill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16" xfId="46" applyNumberFormat="1" applyFont="1" applyFill="1" applyBorder="1" applyAlignment="1">
      <alignment/>
    </xf>
    <xf numFmtId="195" fontId="3" fillId="0" borderId="17" xfId="46" applyNumberFormat="1" applyFont="1" applyFill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7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0" fontId="3" fillId="0" borderId="11" xfId="52" applyNumberFormat="1" applyFont="1" applyBorder="1" applyAlignment="1">
      <alignment/>
    </xf>
    <xf numFmtId="10" fontId="3" fillId="0" borderId="18" xfId="52" applyNumberFormat="1" applyFont="1" applyBorder="1" applyAlignment="1">
      <alignment/>
    </xf>
    <xf numFmtId="10" fontId="3" fillId="0" borderId="19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95" fontId="3" fillId="0" borderId="0" xfId="46" applyNumberFormat="1" applyFont="1" applyAlignment="1">
      <alignment horizontal="center"/>
    </xf>
    <xf numFmtId="195" fontId="2" fillId="0" borderId="0" xfId="46" applyNumberFormat="1" applyFont="1" applyAlignment="1">
      <alignment horizontal="center"/>
    </xf>
    <xf numFmtId="49" fontId="2" fillId="0" borderId="12" xfId="46" applyNumberFormat="1" applyFont="1" applyBorder="1" applyAlignment="1">
      <alignment horizontal="center"/>
    </xf>
    <xf numFmtId="49" fontId="2" fillId="0" borderId="13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5" sqref="H15"/>
    </sheetView>
  </sheetViews>
  <sheetFormatPr defaultColWidth="11.421875" defaultRowHeight="12.75"/>
  <cols>
    <col min="1" max="1" width="3.421875" style="4" customWidth="1"/>
    <col min="2" max="2" width="27.140625" style="4" customWidth="1"/>
    <col min="3" max="7" width="8.140625" style="4" bestFit="1" customWidth="1"/>
    <col min="8" max="8" width="8.28125" style="4" customWidth="1"/>
    <col min="9" max="13" width="8.140625" style="4" bestFit="1" customWidth="1"/>
    <col min="14" max="14" width="8.00390625" style="4" customWidth="1"/>
    <col min="15" max="15" width="6.57421875" style="4" hidden="1" customWidth="1"/>
    <col min="16" max="16" width="6.140625" style="4" hidden="1" customWidth="1"/>
    <col min="17" max="35" width="11.421875" style="4" customWidth="1"/>
    <col min="36" max="16384" width="11.421875" style="1" customWidth="1"/>
  </cols>
  <sheetData>
    <row r="1" spans="2:16" ht="11.25">
      <c r="B1" s="39"/>
      <c r="C1" s="39"/>
      <c r="D1" s="39"/>
      <c r="E1" s="39"/>
      <c r="F1" s="39"/>
      <c r="G1" s="39" t="s">
        <v>0</v>
      </c>
      <c r="H1" s="39"/>
      <c r="I1" s="39"/>
      <c r="J1" s="39"/>
      <c r="K1" s="39"/>
      <c r="L1" s="39"/>
      <c r="M1" s="39"/>
      <c r="N1" s="39"/>
      <c r="O1" s="39"/>
      <c r="P1" s="39"/>
    </row>
    <row r="2" spans="2:16" ht="11.25">
      <c r="B2" s="39"/>
      <c r="C2" s="39"/>
      <c r="D2" s="39"/>
      <c r="E2" s="39"/>
      <c r="F2" s="39"/>
      <c r="G2" s="39" t="s">
        <v>1</v>
      </c>
      <c r="H2" s="39"/>
      <c r="I2" s="39"/>
      <c r="J2" s="39"/>
      <c r="K2" s="39"/>
      <c r="L2" s="39"/>
      <c r="M2" s="39"/>
      <c r="N2" s="39"/>
      <c r="O2" s="39"/>
      <c r="P2" s="39"/>
    </row>
    <row r="3" spans="2:16" ht="11.25">
      <c r="B3" s="39"/>
      <c r="C3" s="39"/>
      <c r="D3" s="39"/>
      <c r="E3" s="39"/>
      <c r="F3" s="39"/>
      <c r="G3" s="39" t="s">
        <v>2</v>
      </c>
      <c r="H3" s="39"/>
      <c r="I3" s="39"/>
      <c r="J3" s="39"/>
      <c r="K3" s="39"/>
      <c r="L3" s="39"/>
      <c r="M3" s="39"/>
      <c r="N3" s="39"/>
      <c r="O3" s="39"/>
      <c r="P3" s="39"/>
    </row>
    <row r="4" spans="1:16" ht="11.25">
      <c r="A4" s="1"/>
      <c r="B4" s="38"/>
      <c r="C4" s="38"/>
      <c r="D4" s="38"/>
      <c r="E4" s="38"/>
      <c r="F4" s="38"/>
      <c r="G4" s="38" t="s">
        <v>3</v>
      </c>
      <c r="H4" s="38"/>
      <c r="I4" s="38"/>
      <c r="J4" s="38"/>
      <c r="K4" s="38"/>
      <c r="L4" s="38"/>
      <c r="M4" s="38"/>
      <c r="N4" s="38"/>
      <c r="O4" s="38"/>
      <c r="P4" s="38"/>
    </row>
    <row r="5" spans="1:16" ht="11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1.2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5"/>
      <c r="P6" s="5"/>
    </row>
    <row r="7" spans="1:35" s="2" customFormat="1" ht="11.25">
      <c r="A7" s="7"/>
      <c r="B7" s="7"/>
      <c r="C7" s="40">
        <v>2002</v>
      </c>
      <c r="D7" s="40"/>
      <c r="E7" s="40"/>
      <c r="F7" s="41"/>
      <c r="G7" s="40">
        <v>2001</v>
      </c>
      <c r="H7" s="40"/>
      <c r="I7" s="40"/>
      <c r="J7" s="40"/>
      <c r="K7" s="40">
        <v>2000</v>
      </c>
      <c r="L7" s="40"/>
      <c r="M7" s="40"/>
      <c r="N7" s="40"/>
      <c r="O7" s="40" t="s">
        <v>4</v>
      </c>
      <c r="P7" s="41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16" ht="11.25">
      <c r="A8" s="9"/>
      <c r="B8" s="9"/>
      <c r="C8" s="9" t="s">
        <v>5</v>
      </c>
      <c r="D8" s="9" t="s">
        <v>6</v>
      </c>
      <c r="E8" s="10" t="s">
        <v>7</v>
      </c>
      <c r="F8" s="11" t="s">
        <v>8</v>
      </c>
      <c r="G8" s="9" t="s">
        <v>5</v>
      </c>
      <c r="H8" s="9" t="s">
        <v>6</v>
      </c>
      <c r="I8" s="9" t="s">
        <v>7</v>
      </c>
      <c r="J8" s="9" t="s">
        <v>8</v>
      </c>
      <c r="K8" s="12" t="s">
        <v>5</v>
      </c>
      <c r="L8" s="9" t="s">
        <v>6</v>
      </c>
      <c r="M8" s="9" t="s">
        <v>7</v>
      </c>
      <c r="N8" s="9" t="s">
        <v>8</v>
      </c>
      <c r="O8" s="13" t="s">
        <v>9</v>
      </c>
      <c r="P8" s="14" t="s">
        <v>10</v>
      </c>
    </row>
    <row r="9" spans="1:16" ht="11.25">
      <c r="A9" s="15" t="s">
        <v>11</v>
      </c>
      <c r="B9" s="15"/>
      <c r="C9" s="15"/>
      <c r="D9" s="15"/>
      <c r="E9" s="16"/>
      <c r="F9" s="17"/>
      <c r="G9" s="15"/>
      <c r="H9" s="15"/>
      <c r="I9" s="15"/>
      <c r="J9" s="15"/>
      <c r="K9" s="18"/>
      <c r="L9" s="16"/>
      <c r="M9" s="16"/>
      <c r="N9" s="16"/>
      <c r="O9" s="16"/>
      <c r="P9" s="17"/>
    </row>
    <row r="10" spans="1:16" ht="11.25">
      <c r="A10" s="4" t="s">
        <v>12</v>
      </c>
      <c r="C10" s="4">
        <v>296214</v>
      </c>
      <c r="D10" s="4">
        <v>280050</v>
      </c>
      <c r="E10" s="6">
        <v>300120</v>
      </c>
      <c r="F10" s="19">
        <v>287043</v>
      </c>
      <c r="G10" s="4">
        <v>297939</v>
      </c>
      <c r="H10" s="4">
        <v>283335</v>
      </c>
      <c r="I10" s="4">
        <v>287822</v>
      </c>
      <c r="J10" s="4">
        <v>284258</v>
      </c>
      <c r="K10" s="20">
        <v>295095</v>
      </c>
      <c r="L10" s="6">
        <v>292533</v>
      </c>
      <c r="M10" s="6">
        <v>283373</v>
      </c>
      <c r="N10" s="6">
        <v>224487</v>
      </c>
      <c r="O10" s="6">
        <v>238807</v>
      </c>
      <c r="P10" s="19">
        <v>193249</v>
      </c>
    </row>
    <row r="11" spans="1:16" ht="11.25">
      <c r="A11" s="4" t="s">
        <v>13</v>
      </c>
      <c r="C11" s="4">
        <v>50364</v>
      </c>
      <c r="D11" s="4">
        <v>44714</v>
      </c>
      <c r="E11" s="6">
        <v>57430</v>
      </c>
      <c r="F11" s="19">
        <v>49649</v>
      </c>
      <c r="G11" s="4">
        <v>52873</v>
      </c>
      <c r="H11" s="4">
        <v>53852</v>
      </c>
      <c r="I11" s="4">
        <v>57890</v>
      </c>
      <c r="J11" s="4">
        <v>51933</v>
      </c>
      <c r="K11" s="20">
        <v>55732</v>
      </c>
      <c r="L11" s="6">
        <v>51454</v>
      </c>
      <c r="M11" s="6">
        <v>55680</v>
      </c>
      <c r="N11" s="6">
        <v>16801</v>
      </c>
      <c r="O11" s="6">
        <v>44922</v>
      </c>
      <c r="P11" s="19">
        <v>30508</v>
      </c>
    </row>
    <row r="12" spans="1:16" ht="11.25">
      <c r="A12" s="4" t="s">
        <v>14</v>
      </c>
      <c r="C12" s="6">
        <f aca="true" t="shared" si="0" ref="C12:P12">C13+C14</f>
        <v>184114</v>
      </c>
      <c r="D12" s="6">
        <f t="shared" si="0"/>
        <v>180116</v>
      </c>
      <c r="E12" s="6">
        <f t="shared" si="0"/>
        <v>188010</v>
      </c>
      <c r="F12" s="19">
        <f t="shared" si="0"/>
        <v>182522</v>
      </c>
      <c r="G12" s="4">
        <f t="shared" si="0"/>
        <v>196480</v>
      </c>
      <c r="H12" s="4">
        <f t="shared" si="0"/>
        <v>193794</v>
      </c>
      <c r="I12" s="4">
        <f t="shared" si="0"/>
        <v>193006</v>
      </c>
      <c r="J12" s="4">
        <f t="shared" si="0"/>
        <v>196523</v>
      </c>
      <c r="K12" s="20">
        <f t="shared" si="0"/>
        <v>205221</v>
      </c>
      <c r="L12" s="6">
        <f t="shared" si="0"/>
        <v>208151</v>
      </c>
      <c r="M12" s="6">
        <f t="shared" si="0"/>
        <v>192833</v>
      </c>
      <c r="N12" s="6">
        <f t="shared" si="0"/>
        <v>163713</v>
      </c>
      <c r="O12" s="6">
        <f t="shared" si="0"/>
        <v>151839</v>
      </c>
      <c r="P12" s="19">
        <f t="shared" si="0"/>
        <v>116900</v>
      </c>
    </row>
    <row r="13" spans="2:16" ht="11.25">
      <c r="B13" s="4" t="s">
        <v>15</v>
      </c>
      <c r="C13" s="4">
        <v>180372</v>
      </c>
      <c r="D13" s="4">
        <v>176238</v>
      </c>
      <c r="E13" s="6">
        <v>182171</v>
      </c>
      <c r="F13" s="19">
        <v>175602</v>
      </c>
      <c r="G13" s="4">
        <v>188831</v>
      </c>
      <c r="H13" s="4">
        <v>185927</v>
      </c>
      <c r="I13" s="4">
        <v>184079</v>
      </c>
      <c r="J13" s="4">
        <v>188477</v>
      </c>
      <c r="K13" s="20">
        <v>199284</v>
      </c>
      <c r="L13" s="6">
        <v>202292</v>
      </c>
      <c r="M13" s="6">
        <v>185639</v>
      </c>
      <c r="N13" s="6">
        <v>161087</v>
      </c>
      <c r="O13" s="6">
        <v>149796</v>
      </c>
      <c r="P13" s="19">
        <v>116869</v>
      </c>
    </row>
    <row r="14" spans="2:16" ht="11.25">
      <c r="B14" s="4" t="s">
        <v>16</v>
      </c>
      <c r="C14" s="4">
        <v>3742</v>
      </c>
      <c r="D14" s="4">
        <v>3878</v>
      </c>
      <c r="E14" s="6">
        <v>5839</v>
      </c>
      <c r="F14" s="19">
        <v>6920</v>
      </c>
      <c r="G14" s="4">
        <v>7649</v>
      </c>
      <c r="H14" s="4">
        <v>7867</v>
      </c>
      <c r="I14" s="4">
        <v>8927</v>
      </c>
      <c r="J14" s="4">
        <v>8046</v>
      </c>
      <c r="K14" s="20">
        <v>5937</v>
      </c>
      <c r="L14" s="6">
        <v>5859</v>
      </c>
      <c r="M14" s="6">
        <v>7194</v>
      </c>
      <c r="N14" s="6">
        <v>2626</v>
      </c>
      <c r="O14" s="6">
        <v>2043</v>
      </c>
      <c r="P14" s="19">
        <v>31</v>
      </c>
    </row>
    <row r="15" spans="1:16" ht="11.25">
      <c r="A15" s="4" t="s">
        <v>17</v>
      </c>
      <c r="C15" s="4">
        <v>46302</v>
      </c>
      <c r="D15" s="4">
        <v>41259</v>
      </c>
      <c r="E15" s="6">
        <v>41608</v>
      </c>
      <c r="F15" s="19">
        <v>41240</v>
      </c>
      <c r="G15" s="4">
        <v>32822</v>
      </c>
      <c r="H15" s="4">
        <v>22203</v>
      </c>
      <c r="I15" s="4">
        <v>23850</v>
      </c>
      <c r="J15" s="4">
        <v>22349</v>
      </c>
      <c r="K15" s="20">
        <v>21837</v>
      </c>
      <c r="L15" s="6">
        <v>22522</v>
      </c>
      <c r="M15" s="6">
        <v>25354</v>
      </c>
      <c r="N15" s="6">
        <v>33551</v>
      </c>
      <c r="O15" s="6">
        <v>32696</v>
      </c>
      <c r="P15" s="19">
        <v>30240</v>
      </c>
    </row>
    <row r="16" spans="1:35" s="3" customFormat="1" ht="11.25">
      <c r="A16" s="21" t="s">
        <v>18</v>
      </c>
      <c r="B16" s="21"/>
      <c r="C16" s="22">
        <f aca="true" t="shared" si="1" ref="C16:P16">C17+C21</f>
        <v>250414</v>
      </c>
      <c r="D16" s="22">
        <f t="shared" si="1"/>
        <v>249052</v>
      </c>
      <c r="E16" s="22">
        <f t="shared" si="1"/>
        <v>268085</v>
      </c>
      <c r="F16" s="23">
        <f t="shared" si="1"/>
        <v>246754</v>
      </c>
      <c r="G16" s="21">
        <f t="shared" si="1"/>
        <v>262082</v>
      </c>
      <c r="H16" s="21">
        <f t="shared" si="1"/>
        <v>253877</v>
      </c>
      <c r="I16" s="21">
        <f t="shared" si="1"/>
        <v>255373</v>
      </c>
      <c r="J16" s="21">
        <f t="shared" si="1"/>
        <v>247104</v>
      </c>
      <c r="K16" s="24">
        <f t="shared" si="1"/>
        <v>256818</v>
      </c>
      <c r="L16" s="22">
        <f t="shared" si="1"/>
        <v>257212</v>
      </c>
      <c r="M16" s="22">
        <f t="shared" si="1"/>
        <v>248597</v>
      </c>
      <c r="N16" s="22">
        <f t="shared" si="1"/>
        <v>188153</v>
      </c>
      <c r="O16" s="22">
        <f t="shared" si="1"/>
        <v>202018</v>
      </c>
      <c r="P16" s="23">
        <f t="shared" si="1"/>
        <v>168313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s="3" customFormat="1" ht="11.25">
      <c r="A17" s="21"/>
      <c r="B17" s="21" t="s">
        <v>15</v>
      </c>
      <c r="C17" s="22">
        <f aca="true" t="shared" si="2" ref="C17:P17">SUM(C18:C20)</f>
        <v>200704</v>
      </c>
      <c r="D17" s="22">
        <f t="shared" si="2"/>
        <v>192811</v>
      </c>
      <c r="E17" s="22">
        <f t="shared" si="2"/>
        <v>208392</v>
      </c>
      <c r="F17" s="23">
        <f t="shared" si="2"/>
        <v>180365</v>
      </c>
      <c r="G17" s="21">
        <f t="shared" si="2"/>
        <v>193674</v>
      </c>
      <c r="H17" s="21">
        <f t="shared" si="2"/>
        <v>184522</v>
      </c>
      <c r="I17" s="21">
        <f t="shared" si="2"/>
        <v>189756</v>
      </c>
      <c r="J17" s="21">
        <f t="shared" si="2"/>
        <v>183911</v>
      </c>
      <c r="K17" s="24">
        <f t="shared" si="2"/>
        <v>195583</v>
      </c>
      <c r="L17" s="22">
        <f t="shared" si="2"/>
        <v>180557</v>
      </c>
      <c r="M17" s="22">
        <f t="shared" si="2"/>
        <v>184739</v>
      </c>
      <c r="N17" s="22">
        <f t="shared" si="2"/>
        <v>141001</v>
      </c>
      <c r="O17" s="22">
        <f t="shared" si="2"/>
        <v>156968</v>
      </c>
      <c r="P17" s="23">
        <f t="shared" si="2"/>
        <v>117078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3" customFormat="1" ht="11.25">
      <c r="A18" s="21"/>
      <c r="B18" s="21" t="s">
        <v>19</v>
      </c>
      <c r="C18" s="21">
        <v>0</v>
      </c>
      <c r="D18" s="21">
        <v>0</v>
      </c>
      <c r="E18" s="22">
        <v>0</v>
      </c>
      <c r="F18" s="23">
        <v>0</v>
      </c>
      <c r="G18" s="21">
        <v>0</v>
      </c>
      <c r="H18" s="21">
        <v>0</v>
      </c>
      <c r="I18" s="21">
        <v>0</v>
      </c>
      <c r="J18" s="21">
        <v>0</v>
      </c>
      <c r="K18" s="24">
        <v>0</v>
      </c>
      <c r="L18" s="22">
        <v>0</v>
      </c>
      <c r="M18" s="22">
        <v>0</v>
      </c>
      <c r="N18" s="22">
        <v>0</v>
      </c>
      <c r="O18" s="22">
        <v>0</v>
      </c>
      <c r="P18" s="23">
        <v>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3" customFormat="1" ht="11.25">
      <c r="A19" s="21"/>
      <c r="B19" s="21" t="s">
        <v>20</v>
      </c>
      <c r="C19" s="21">
        <v>190719</v>
      </c>
      <c r="D19" s="21">
        <v>180811</v>
      </c>
      <c r="E19" s="22">
        <v>193892</v>
      </c>
      <c r="F19" s="23">
        <v>175365</v>
      </c>
      <c r="G19" s="21">
        <v>186674</v>
      </c>
      <c r="H19" s="21">
        <v>177522</v>
      </c>
      <c r="I19" s="21">
        <v>168749</v>
      </c>
      <c r="J19" s="21">
        <v>168251</v>
      </c>
      <c r="K19" s="24">
        <v>163411</v>
      </c>
      <c r="L19" s="22">
        <v>152892</v>
      </c>
      <c r="M19" s="22">
        <v>149370</v>
      </c>
      <c r="N19" s="22">
        <v>119706</v>
      </c>
      <c r="O19" s="22">
        <v>126530</v>
      </c>
      <c r="P19" s="23">
        <v>98064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3" customFormat="1" ht="11.25">
      <c r="A20" s="21"/>
      <c r="B20" s="21" t="s">
        <v>21</v>
      </c>
      <c r="C20" s="21">
        <v>9985</v>
      </c>
      <c r="D20" s="21">
        <v>12000</v>
      </c>
      <c r="E20" s="22">
        <v>14500</v>
      </c>
      <c r="F20" s="23">
        <v>5000</v>
      </c>
      <c r="G20" s="21">
        <v>7000</v>
      </c>
      <c r="H20" s="21">
        <v>7000</v>
      </c>
      <c r="I20" s="21">
        <v>21007</v>
      </c>
      <c r="J20" s="21">
        <v>15660</v>
      </c>
      <c r="K20" s="24">
        <v>32172</v>
      </c>
      <c r="L20" s="22">
        <v>27665</v>
      </c>
      <c r="M20" s="22">
        <v>35369</v>
      </c>
      <c r="N20" s="22">
        <v>21295</v>
      </c>
      <c r="O20" s="22">
        <v>30438</v>
      </c>
      <c r="P20" s="23">
        <v>19014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s="3" customFormat="1" ht="11.25">
      <c r="A21" s="21"/>
      <c r="B21" s="21" t="s">
        <v>16</v>
      </c>
      <c r="C21" s="21">
        <f>SUM(C22:C24)</f>
        <v>49710</v>
      </c>
      <c r="D21" s="22">
        <f aca="true" t="shared" si="3" ref="D21:P21">SUM(D23:D24)</f>
        <v>56241</v>
      </c>
      <c r="E21" s="22">
        <f t="shared" si="3"/>
        <v>59693</v>
      </c>
      <c r="F21" s="23">
        <f t="shared" si="3"/>
        <v>66389</v>
      </c>
      <c r="G21" s="21">
        <f t="shared" si="3"/>
        <v>68408</v>
      </c>
      <c r="H21" s="21">
        <f t="shared" si="3"/>
        <v>69355</v>
      </c>
      <c r="I21" s="21">
        <f t="shared" si="3"/>
        <v>65617</v>
      </c>
      <c r="J21" s="21">
        <f t="shared" si="3"/>
        <v>63193</v>
      </c>
      <c r="K21" s="24">
        <f t="shared" si="3"/>
        <v>61235</v>
      </c>
      <c r="L21" s="22">
        <f t="shared" si="3"/>
        <v>76655</v>
      </c>
      <c r="M21" s="22">
        <f t="shared" si="3"/>
        <v>63858</v>
      </c>
      <c r="N21" s="22">
        <f t="shared" si="3"/>
        <v>47152</v>
      </c>
      <c r="O21" s="22">
        <f t="shared" si="3"/>
        <v>45050</v>
      </c>
      <c r="P21" s="23">
        <f t="shared" si="3"/>
        <v>51235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s="3" customFormat="1" ht="11.25">
      <c r="A22" s="21"/>
      <c r="B22" s="21" t="s">
        <v>19</v>
      </c>
      <c r="C22" s="21">
        <v>0</v>
      </c>
      <c r="D22" s="22">
        <v>0</v>
      </c>
      <c r="E22" s="22">
        <v>0</v>
      </c>
      <c r="F22" s="23">
        <v>0</v>
      </c>
      <c r="G22" s="21">
        <v>0</v>
      </c>
      <c r="H22" s="21">
        <v>0</v>
      </c>
      <c r="I22" s="21">
        <v>0</v>
      </c>
      <c r="J22" s="21">
        <v>0</v>
      </c>
      <c r="K22" s="24">
        <v>0</v>
      </c>
      <c r="L22" s="22">
        <v>0</v>
      </c>
      <c r="M22" s="22">
        <v>0</v>
      </c>
      <c r="N22" s="22">
        <v>0</v>
      </c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s="3" customFormat="1" ht="11.25">
      <c r="A23" s="21"/>
      <c r="B23" s="21" t="s">
        <v>20</v>
      </c>
      <c r="C23" s="21">
        <v>7950</v>
      </c>
      <c r="D23" s="21">
        <v>8789</v>
      </c>
      <c r="E23" s="22">
        <v>7740</v>
      </c>
      <c r="F23" s="23">
        <v>7404</v>
      </c>
      <c r="G23" s="21">
        <v>10047</v>
      </c>
      <c r="H23" s="21">
        <v>10643</v>
      </c>
      <c r="I23" s="21">
        <v>12020</v>
      </c>
      <c r="J23" s="21">
        <v>13428</v>
      </c>
      <c r="K23" s="24">
        <v>16804</v>
      </c>
      <c r="L23" s="22">
        <v>12785</v>
      </c>
      <c r="M23" s="22">
        <v>12555</v>
      </c>
      <c r="N23" s="22">
        <v>9807</v>
      </c>
      <c r="O23" s="22">
        <v>8112</v>
      </c>
      <c r="P23" s="23">
        <v>11091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3" customFormat="1" ht="11.25">
      <c r="A24" s="21"/>
      <c r="B24" s="21" t="s">
        <v>21</v>
      </c>
      <c r="C24" s="21">
        <v>41760</v>
      </c>
      <c r="D24" s="21">
        <v>47452</v>
      </c>
      <c r="E24" s="22">
        <v>51953</v>
      </c>
      <c r="F24" s="23">
        <v>58985</v>
      </c>
      <c r="G24" s="21">
        <v>58361</v>
      </c>
      <c r="H24" s="21">
        <v>58712</v>
      </c>
      <c r="I24" s="21">
        <v>53597</v>
      </c>
      <c r="J24" s="21">
        <v>49765</v>
      </c>
      <c r="K24" s="24">
        <v>44431</v>
      </c>
      <c r="L24" s="22">
        <v>63870</v>
      </c>
      <c r="M24" s="22">
        <v>51303</v>
      </c>
      <c r="N24" s="22">
        <v>37345</v>
      </c>
      <c r="O24" s="22">
        <v>36938</v>
      </c>
      <c r="P24" s="23">
        <v>40144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16" ht="11.25">
      <c r="A25" s="5" t="s">
        <v>22</v>
      </c>
      <c r="B25" s="5"/>
      <c r="C25" s="5">
        <v>31925</v>
      </c>
      <c r="D25" s="5">
        <v>31640</v>
      </c>
      <c r="E25" s="5">
        <v>30618</v>
      </c>
      <c r="F25" s="25">
        <v>27291</v>
      </c>
      <c r="G25" s="5">
        <v>25774</v>
      </c>
      <c r="H25" s="5">
        <v>20597</v>
      </c>
      <c r="I25" s="5">
        <v>20349</v>
      </c>
      <c r="J25" s="5">
        <v>20240</v>
      </c>
      <c r="K25" s="26">
        <v>20010</v>
      </c>
      <c r="L25" s="5">
        <v>19940</v>
      </c>
      <c r="M25" s="5">
        <v>20731</v>
      </c>
      <c r="N25" s="5">
        <v>20166</v>
      </c>
      <c r="O25" s="5">
        <v>15755</v>
      </c>
      <c r="P25" s="25">
        <v>14525</v>
      </c>
    </row>
    <row r="26" spans="1:16" ht="11.25">
      <c r="A26" s="15" t="s">
        <v>23</v>
      </c>
      <c r="E26" s="6"/>
      <c r="F26" s="19"/>
      <c r="K26" s="20"/>
      <c r="L26" s="6"/>
      <c r="M26" s="6"/>
      <c r="N26" s="6"/>
      <c r="O26" s="6"/>
      <c r="P26" s="19"/>
    </row>
    <row r="27" spans="1:16" ht="11.25">
      <c r="A27" s="4" t="s">
        <v>12</v>
      </c>
      <c r="C27" s="6">
        <f aca="true" t="shared" si="4" ref="C27:I27">(C10+G10)/2</f>
        <v>297076.5</v>
      </c>
      <c r="D27" s="6">
        <f t="shared" si="4"/>
        <v>281692.5</v>
      </c>
      <c r="E27" s="6">
        <f t="shared" si="4"/>
        <v>293971</v>
      </c>
      <c r="F27" s="19">
        <f t="shared" si="4"/>
        <v>285650.5</v>
      </c>
      <c r="G27" s="4">
        <f t="shared" si="4"/>
        <v>296517</v>
      </c>
      <c r="H27" s="4">
        <f t="shared" si="4"/>
        <v>287934</v>
      </c>
      <c r="I27" s="4">
        <f t="shared" si="4"/>
        <v>285597.5</v>
      </c>
      <c r="J27" s="4">
        <f>+(J10+N10)/2</f>
        <v>254372.5</v>
      </c>
      <c r="K27" s="20">
        <f>+(K10+O10)/2</f>
        <v>266951</v>
      </c>
      <c r="L27" s="6">
        <v>256665</v>
      </c>
      <c r="M27" s="6">
        <v>251603</v>
      </c>
      <c r="N27" s="6">
        <v>215238</v>
      </c>
      <c r="O27" s="6">
        <f>(O10+P10)/2</f>
        <v>216028</v>
      </c>
      <c r="P27" s="19">
        <v>178815</v>
      </c>
    </row>
    <row r="28" spans="1:16" ht="11.25">
      <c r="A28" s="4" t="s">
        <v>24</v>
      </c>
      <c r="C28" s="6">
        <f aca="true" t="shared" si="5" ref="C28:P28">C29+C30</f>
        <v>229859</v>
      </c>
      <c r="D28" s="6">
        <f t="shared" si="5"/>
        <v>218686</v>
      </c>
      <c r="E28" s="6">
        <f t="shared" si="5"/>
        <v>223237</v>
      </c>
      <c r="F28" s="19">
        <f t="shared" si="5"/>
        <v>221317</v>
      </c>
      <c r="G28" s="4">
        <f t="shared" si="5"/>
        <v>228180</v>
      </c>
      <c r="H28" s="4">
        <f t="shared" si="5"/>
        <v>223335</v>
      </c>
      <c r="I28" s="4">
        <f t="shared" si="5"/>
        <v>217521.5</v>
      </c>
      <c r="J28" s="4">
        <f t="shared" si="5"/>
        <v>208068</v>
      </c>
      <c r="K28" s="20">
        <f t="shared" si="5"/>
        <v>205796.5</v>
      </c>
      <c r="L28" s="6">
        <f t="shared" si="5"/>
        <v>202725</v>
      </c>
      <c r="M28" s="6">
        <f t="shared" si="5"/>
        <v>190982</v>
      </c>
      <c r="N28" s="6">
        <f t="shared" si="5"/>
        <v>179485</v>
      </c>
      <c r="O28" s="6">
        <f t="shared" si="5"/>
        <v>165837.5</v>
      </c>
      <c r="P28" s="19">
        <f t="shared" si="5"/>
        <v>131826</v>
      </c>
    </row>
    <row r="29" spans="2:16" ht="11.25">
      <c r="B29" s="4" t="s">
        <v>14</v>
      </c>
      <c r="C29" s="6">
        <f aca="true" t="shared" si="6" ref="C29:I29">(C12+G12)/2</f>
        <v>190297</v>
      </c>
      <c r="D29" s="6">
        <f t="shared" si="6"/>
        <v>186955</v>
      </c>
      <c r="E29" s="6">
        <f t="shared" si="6"/>
        <v>190508</v>
      </c>
      <c r="F29" s="19">
        <f t="shared" si="6"/>
        <v>189522.5</v>
      </c>
      <c r="G29" s="4">
        <f t="shared" si="6"/>
        <v>200850.5</v>
      </c>
      <c r="H29" s="4">
        <f t="shared" si="6"/>
        <v>200972.5</v>
      </c>
      <c r="I29" s="4">
        <f t="shared" si="6"/>
        <v>192919.5</v>
      </c>
      <c r="J29" s="4">
        <f>+(J12+N12)/2</f>
        <v>180118</v>
      </c>
      <c r="K29" s="20">
        <f>+(K12+O12)/2</f>
        <v>178530</v>
      </c>
      <c r="L29" s="6">
        <v>175573</v>
      </c>
      <c r="M29" s="6">
        <v>162353</v>
      </c>
      <c r="N29" s="6">
        <v>149049</v>
      </c>
      <c r="O29" s="6">
        <f>(O12+P12)/2</f>
        <v>134369.5</v>
      </c>
      <c r="P29" s="19">
        <v>108667</v>
      </c>
    </row>
    <row r="30" spans="2:16" ht="11.25">
      <c r="B30" s="4" t="s">
        <v>17</v>
      </c>
      <c r="C30" s="6">
        <f aca="true" t="shared" si="7" ref="C30:I30">(C15+G15)/2</f>
        <v>39562</v>
      </c>
      <c r="D30" s="6">
        <f t="shared" si="7"/>
        <v>31731</v>
      </c>
      <c r="E30" s="6">
        <f t="shared" si="7"/>
        <v>32729</v>
      </c>
      <c r="F30" s="19">
        <f t="shared" si="7"/>
        <v>31794.5</v>
      </c>
      <c r="G30" s="4">
        <f t="shared" si="7"/>
        <v>27329.5</v>
      </c>
      <c r="H30" s="4">
        <f t="shared" si="7"/>
        <v>22362.5</v>
      </c>
      <c r="I30" s="4">
        <f t="shared" si="7"/>
        <v>24602</v>
      </c>
      <c r="J30" s="4">
        <f>+(J15+N15)/2</f>
        <v>27950</v>
      </c>
      <c r="K30" s="20">
        <f>+(K15+O15)/2</f>
        <v>27266.5</v>
      </c>
      <c r="L30" s="6">
        <v>27152</v>
      </c>
      <c r="M30" s="6">
        <v>28629</v>
      </c>
      <c r="N30" s="6">
        <v>30436</v>
      </c>
      <c r="O30" s="6">
        <f>(O15+P15)/2</f>
        <v>31468</v>
      </c>
      <c r="P30" s="19">
        <v>23159</v>
      </c>
    </row>
    <row r="31" spans="1:16" ht="11.25">
      <c r="A31" s="5" t="s">
        <v>22</v>
      </c>
      <c r="B31" s="5"/>
      <c r="C31" s="5">
        <f aca="true" t="shared" si="8" ref="C31:I31">(C25+G25)/2</f>
        <v>28849.5</v>
      </c>
      <c r="D31" s="5">
        <f t="shared" si="8"/>
        <v>26118.5</v>
      </c>
      <c r="E31" s="5">
        <f t="shared" si="8"/>
        <v>25483.5</v>
      </c>
      <c r="F31" s="25">
        <f t="shared" si="8"/>
        <v>23765.5</v>
      </c>
      <c r="G31" s="5">
        <f t="shared" si="8"/>
        <v>22892</v>
      </c>
      <c r="H31" s="5">
        <f t="shared" si="8"/>
        <v>20268.5</v>
      </c>
      <c r="I31" s="5">
        <f t="shared" si="8"/>
        <v>20540</v>
      </c>
      <c r="J31" s="5">
        <f>+(J25+N25)/2</f>
        <v>20203</v>
      </c>
      <c r="K31" s="26">
        <f>+(K25+O25)/2</f>
        <v>17882.5</v>
      </c>
      <c r="L31" s="5">
        <v>17597</v>
      </c>
      <c r="M31" s="5">
        <v>17897</v>
      </c>
      <c r="N31" s="5">
        <v>17511</v>
      </c>
      <c r="O31" s="5">
        <f>(O25+P25)/2</f>
        <v>15140</v>
      </c>
      <c r="P31" s="25">
        <v>12928</v>
      </c>
    </row>
    <row r="32" spans="1:16" ht="11.25">
      <c r="A32" s="15" t="s">
        <v>25</v>
      </c>
      <c r="E32" s="6"/>
      <c r="F32" s="19"/>
      <c r="K32" s="20"/>
      <c r="L32" s="6"/>
      <c r="M32" s="6"/>
      <c r="N32" s="6"/>
      <c r="O32" s="6"/>
      <c r="P32" s="19"/>
    </row>
    <row r="33" spans="1:16" ht="11.25">
      <c r="A33" s="4" t="s">
        <v>26</v>
      </c>
      <c r="C33" s="4">
        <v>19135</v>
      </c>
      <c r="D33" s="4">
        <v>14704</v>
      </c>
      <c r="E33" s="6">
        <v>9986</v>
      </c>
      <c r="F33" s="19">
        <v>5230</v>
      </c>
      <c r="G33" s="4">
        <v>23183</v>
      </c>
      <c r="H33" s="4">
        <v>17596</v>
      </c>
      <c r="I33" s="4">
        <v>11686</v>
      </c>
      <c r="J33" s="4">
        <v>5865</v>
      </c>
      <c r="K33" s="20">
        <v>32476</v>
      </c>
      <c r="L33" s="6">
        <v>26113</v>
      </c>
      <c r="M33" s="6">
        <v>19837</v>
      </c>
      <c r="N33" s="6">
        <v>5073</v>
      </c>
      <c r="O33" s="6">
        <v>19855</v>
      </c>
      <c r="P33" s="19">
        <v>14021</v>
      </c>
    </row>
    <row r="34" spans="1:16" ht="11.25">
      <c r="A34" s="4" t="s">
        <v>27</v>
      </c>
      <c r="C34" s="4">
        <v>14543</v>
      </c>
      <c r="D34" s="4">
        <v>11098</v>
      </c>
      <c r="E34" s="6">
        <v>7431</v>
      </c>
      <c r="F34" s="19">
        <v>3763</v>
      </c>
      <c r="G34" s="4">
        <v>18906</v>
      </c>
      <c r="H34" s="4">
        <v>14929</v>
      </c>
      <c r="I34" s="4">
        <v>9931</v>
      </c>
      <c r="J34" s="4">
        <v>5042</v>
      </c>
      <c r="K34" s="20">
        <v>26803</v>
      </c>
      <c r="L34" s="6">
        <v>21434</v>
      </c>
      <c r="M34" s="6">
        <v>16201</v>
      </c>
      <c r="N34" s="6">
        <v>4021</v>
      </c>
      <c r="O34" s="6">
        <v>16301</v>
      </c>
      <c r="P34" s="19">
        <v>10552</v>
      </c>
    </row>
    <row r="35" spans="1:16" ht="11.25">
      <c r="A35" s="4" t="s">
        <v>28</v>
      </c>
      <c r="C35" s="6">
        <f>+C33-C34</f>
        <v>4592</v>
      </c>
      <c r="D35" s="6">
        <f>+D33-D34</f>
        <v>3606</v>
      </c>
      <c r="E35" s="6">
        <f>+E33-E34</f>
        <v>2555</v>
      </c>
      <c r="F35" s="19">
        <f>+F33-F34</f>
        <v>1467</v>
      </c>
      <c r="G35" s="4">
        <f aca="true" t="shared" si="9" ref="G35:P35">G33-G34</f>
        <v>4277</v>
      </c>
      <c r="H35" s="4">
        <f t="shared" si="9"/>
        <v>2667</v>
      </c>
      <c r="I35" s="4">
        <f t="shared" si="9"/>
        <v>1755</v>
      </c>
      <c r="J35" s="4">
        <f t="shared" si="9"/>
        <v>823</v>
      </c>
      <c r="K35" s="20">
        <f t="shared" si="9"/>
        <v>5673</v>
      </c>
      <c r="L35" s="6">
        <f t="shared" si="9"/>
        <v>4679</v>
      </c>
      <c r="M35" s="6">
        <f t="shared" si="9"/>
        <v>3636</v>
      </c>
      <c r="N35" s="6">
        <f t="shared" si="9"/>
        <v>1052</v>
      </c>
      <c r="O35" s="6">
        <f t="shared" si="9"/>
        <v>3554</v>
      </c>
      <c r="P35" s="19">
        <f t="shared" si="9"/>
        <v>3469</v>
      </c>
    </row>
    <row r="36" spans="1:16" ht="11.25">
      <c r="A36" s="4" t="s">
        <v>29</v>
      </c>
      <c r="C36" s="4">
        <v>5374</v>
      </c>
      <c r="D36" s="4">
        <v>3407</v>
      </c>
      <c r="E36" s="6">
        <v>2240</v>
      </c>
      <c r="F36" s="19">
        <v>1523</v>
      </c>
      <c r="G36" s="4">
        <v>3002</v>
      </c>
      <c r="H36" s="4">
        <v>2347</v>
      </c>
      <c r="I36" s="4">
        <v>1699</v>
      </c>
      <c r="J36" s="4">
        <v>829</v>
      </c>
      <c r="K36" s="20">
        <v>4355</v>
      </c>
      <c r="L36" s="6">
        <v>3615</v>
      </c>
      <c r="M36" s="6">
        <v>2711</v>
      </c>
      <c r="N36" s="6">
        <v>681</v>
      </c>
      <c r="O36" s="6">
        <v>2154</v>
      </c>
      <c r="P36" s="19">
        <v>917</v>
      </c>
    </row>
    <row r="37" spans="1:16" ht="11.25">
      <c r="A37" s="4" t="s">
        <v>30</v>
      </c>
      <c r="C37" s="6">
        <f>+C36+C35</f>
        <v>9966</v>
      </c>
      <c r="D37" s="6">
        <f>+D36+D35</f>
        <v>7013</v>
      </c>
      <c r="E37" s="6">
        <f>+E36+E35</f>
        <v>4795</v>
      </c>
      <c r="F37" s="19">
        <f>+F36+F35</f>
        <v>2990</v>
      </c>
      <c r="G37" s="4">
        <f aca="true" t="shared" si="10" ref="G37:P37">G35+G36</f>
        <v>7279</v>
      </c>
      <c r="H37" s="4">
        <f t="shared" si="10"/>
        <v>5014</v>
      </c>
      <c r="I37" s="4">
        <f t="shared" si="10"/>
        <v>3454</v>
      </c>
      <c r="J37" s="4">
        <f t="shared" si="10"/>
        <v>1652</v>
      </c>
      <c r="K37" s="20">
        <f t="shared" si="10"/>
        <v>10028</v>
      </c>
      <c r="L37" s="6">
        <f t="shared" si="10"/>
        <v>8294</v>
      </c>
      <c r="M37" s="6">
        <f t="shared" si="10"/>
        <v>6347</v>
      </c>
      <c r="N37" s="6">
        <f t="shared" si="10"/>
        <v>1733</v>
      </c>
      <c r="O37" s="6">
        <f t="shared" si="10"/>
        <v>5708</v>
      </c>
      <c r="P37" s="19">
        <f t="shared" si="10"/>
        <v>4386</v>
      </c>
    </row>
    <row r="38" spans="1:16" ht="11.25">
      <c r="A38" s="4" t="s">
        <v>31</v>
      </c>
      <c r="C38" s="4">
        <v>5353</v>
      </c>
      <c r="D38" s="4">
        <v>4028</v>
      </c>
      <c r="E38" s="6">
        <v>2748</v>
      </c>
      <c r="F38" s="19">
        <v>1343</v>
      </c>
      <c r="G38" s="4">
        <v>5298</v>
      </c>
      <c r="H38" s="4">
        <v>3892</v>
      </c>
      <c r="I38" s="4">
        <v>2637</v>
      </c>
      <c r="J38" s="4">
        <v>1275</v>
      </c>
      <c r="K38" s="20">
        <v>7035</v>
      </c>
      <c r="L38" s="6">
        <v>5591</v>
      </c>
      <c r="M38" s="6">
        <v>4320</v>
      </c>
      <c r="N38" s="6">
        <v>1074</v>
      </c>
      <c r="O38" s="6">
        <v>4500</v>
      </c>
      <c r="P38" s="19">
        <v>2502</v>
      </c>
    </row>
    <row r="39" spans="1:16" ht="11.25">
      <c r="A39" s="4" t="s">
        <v>32</v>
      </c>
      <c r="C39" s="6">
        <f>+C37-C38</f>
        <v>4613</v>
      </c>
      <c r="D39" s="6">
        <f>+D37-D38</f>
        <v>2985</v>
      </c>
      <c r="E39" s="6">
        <f>+E37-E38</f>
        <v>2047</v>
      </c>
      <c r="F39" s="19">
        <f>+F37-F38</f>
        <v>1647</v>
      </c>
      <c r="G39" s="4">
        <f aca="true" t="shared" si="11" ref="G39:P39">G37-G38</f>
        <v>1981</v>
      </c>
      <c r="H39" s="4">
        <f t="shared" si="11"/>
        <v>1122</v>
      </c>
      <c r="I39" s="4">
        <f t="shared" si="11"/>
        <v>817</v>
      </c>
      <c r="J39" s="4">
        <f t="shared" si="11"/>
        <v>377</v>
      </c>
      <c r="K39" s="20">
        <f t="shared" si="11"/>
        <v>2993</v>
      </c>
      <c r="L39" s="6">
        <f t="shared" si="11"/>
        <v>2703</v>
      </c>
      <c r="M39" s="6">
        <f t="shared" si="11"/>
        <v>2027</v>
      </c>
      <c r="N39" s="6">
        <f t="shared" si="11"/>
        <v>659</v>
      </c>
      <c r="O39" s="6">
        <f t="shared" si="11"/>
        <v>1208</v>
      </c>
      <c r="P39" s="19">
        <f t="shared" si="11"/>
        <v>1884</v>
      </c>
    </row>
    <row r="40" spans="1:16" ht="11.25">
      <c r="A40" s="5" t="s">
        <v>33</v>
      </c>
      <c r="B40" s="5"/>
      <c r="C40" s="5">
        <v>3579</v>
      </c>
      <c r="D40" s="5">
        <v>2841</v>
      </c>
      <c r="E40" s="5">
        <v>1953</v>
      </c>
      <c r="F40" s="25">
        <f>+F39-22</f>
        <v>1625</v>
      </c>
      <c r="G40" s="5">
        <v>786</v>
      </c>
      <c r="H40" s="5">
        <v>712</v>
      </c>
      <c r="I40" s="5">
        <v>580</v>
      </c>
      <c r="J40" s="5">
        <v>182</v>
      </c>
      <c r="K40" s="26">
        <v>2104</v>
      </c>
      <c r="L40" s="5">
        <v>2045</v>
      </c>
      <c r="M40" s="5">
        <v>1768</v>
      </c>
      <c r="N40" s="5">
        <v>599</v>
      </c>
      <c r="O40" s="5">
        <v>957</v>
      </c>
      <c r="P40" s="25">
        <v>1522</v>
      </c>
    </row>
    <row r="41" spans="1:16" ht="11.25">
      <c r="A41" s="15" t="s">
        <v>34</v>
      </c>
      <c r="E41" s="6"/>
      <c r="F41" s="19"/>
      <c r="K41" s="20"/>
      <c r="L41" s="6"/>
      <c r="M41" s="6"/>
      <c r="N41" s="6"/>
      <c r="O41" s="6"/>
      <c r="P41" s="19"/>
    </row>
    <row r="42" spans="1:16" ht="11.25">
      <c r="A42" s="4" t="s">
        <v>35</v>
      </c>
      <c r="C42" s="4">
        <v>35999</v>
      </c>
      <c r="D42" s="4">
        <v>28266</v>
      </c>
      <c r="E42" s="6">
        <v>16715</v>
      </c>
      <c r="F42" s="19">
        <v>38708</v>
      </c>
      <c r="G42" s="21">
        <v>14254</v>
      </c>
      <c r="H42" s="4">
        <v>13898</v>
      </c>
      <c r="I42" s="4">
        <v>25735</v>
      </c>
      <c r="J42" s="4">
        <v>13753</v>
      </c>
      <c r="K42" s="20">
        <v>15905</v>
      </c>
      <c r="L42" s="6">
        <v>11955</v>
      </c>
      <c r="M42" s="6">
        <v>8836</v>
      </c>
      <c r="N42" s="6">
        <v>5591</v>
      </c>
      <c r="O42" s="6">
        <v>8031</v>
      </c>
      <c r="P42" s="19">
        <v>7725</v>
      </c>
    </row>
    <row r="43" spans="1:16" ht="11.25">
      <c r="A43" s="4" t="s">
        <v>36</v>
      </c>
      <c r="C43" s="4">
        <v>3248</v>
      </c>
      <c r="D43" s="4">
        <v>2364</v>
      </c>
      <c r="E43" s="6">
        <v>2330</v>
      </c>
      <c r="F43" s="19">
        <v>1925</v>
      </c>
      <c r="G43" s="4">
        <v>2123</v>
      </c>
      <c r="H43" s="4">
        <v>1353</v>
      </c>
      <c r="I43" s="4">
        <v>1178</v>
      </c>
      <c r="J43" s="4">
        <v>1191</v>
      </c>
      <c r="K43" s="20">
        <v>1030</v>
      </c>
      <c r="L43" s="6">
        <v>799</v>
      </c>
      <c r="M43" s="6">
        <v>496</v>
      </c>
      <c r="N43" s="6">
        <v>480</v>
      </c>
      <c r="O43" s="6">
        <v>420</v>
      </c>
      <c r="P43" s="19">
        <v>480</v>
      </c>
    </row>
    <row r="44" spans="1:16" ht="11.25">
      <c r="A44" s="4" t="s">
        <v>37</v>
      </c>
      <c r="C44" s="27">
        <f aca="true" t="shared" si="12" ref="C44:P44">C42/C12</f>
        <v>0.19552559827063667</v>
      </c>
      <c r="D44" s="27">
        <f t="shared" si="12"/>
        <v>0.15693219924937263</v>
      </c>
      <c r="E44" s="27">
        <f t="shared" si="12"/>
        <v>0.08890484548694218</v>
      </c>
      <c r="F44" s="28">
        <f t="shared" si="12"/>
        <v>0.21207306516474728</v>
      </c>
      <c r="G44" s="29">
        <f t="shared" si="12"/>
        <v>0.07254682410423453</v>
      </c>
      <c r="H44" s="29">
        <f t="shared" si="12"/>
        <v>0.07171532658389837</v>
      </c>
      <c r="I44" s="29">
        <f t="shared" si="12"/>
        <v>0.13333782369460018</v>
      </c>
      <c r="J44" s="29">
        <f t="shared" si="12"/>
        <v>0.06998163064882991</v>
      </c>
      <c r="K44" s="30">
        <f t="shared" si="12"/>
        <v>0.07750181511638672</v>
      </c>
      <c r="L44" s="27">
        <f t="shared" si="12"/>
        <v>0.05743426647001456</v>
      </c>
      <c r="M44" s="27">
        <f t="shared" si="12"/>
        <v>0.045822032535924866</v>
      </c>
      <c r="N44" s="27">
        <f t="shared" si="12"/>
        <v>0.0341512280637457</v>
      </c>
      <c r="O44" s="6">
        <f t="shared" si="12"/>
        <v>0.05289154960188094</v>
      </c>
      <c r="P44" s="19">
        <f t="shared" si="12"/>
        <v>0.06608212147134303</v>
      </c>
    </row>
    <row r="45" spans="1:16" ht="11.25">
      <c r="A45" s="4" t="s">
        <v>38</v>
      </c>
      <c r="C45" s="27">
        <f aca="true" t="shared" si="13" ref="C45:P45">C43/C42</f>
        <v>0.09022472846467958</v>
      </c>
      <c r="D45" s="27">
        <f t="shared" si="13"/>
        <v>0.08363404797282954</v>
      </c>
      <c r="E45" s="27">
        <f t="shared" si="13"/>
        <v>0.139395752318277</v>
      </c>
      <c r="F45" s="28">
        <f t="shared" si="13"/>
        <v>0.049731321690606595</v>
      </c>
      <c r="G45" s="29">
        <f t="shared" si="13"/>
        <v>0.14894064823909078</v>
      </c>
      <c r="H45" s="29">
        <f t="shared" si="13"/>
        <v>0.09735213699812922</v>
      </c>
      <c r="I45" s="29">
        <f t="shared" si="13"/>
        <v>0.04577423741985623</v>
      </c>
      <c r="J45" s="29">
        <f t="shared" si="13"/>
        <v>0.08659928742819749</v>
      </c>
      <c r="K45" s="30">
        <f t="shared" si="13"/>
        <v>0.06475950958817982</v>
      </c>
      <c r="L45" s="27">
        <f t="shared" si="13"/>
        <v>0.06683396068590548</v>
      </c>
      <c r="M45" s="27">
        <f t="shared" si="13"/>
        <v>0.05613399728383884</v>
      </c>
      <c r="N45" s="27">
        <f t="shared" si="13"/>
        <v>0.08585226256483634</v>
      </c>
      <c r="O45" s="6">
        <f t="shared" si="13"/>
        <v>0.05229734777736272</v>
      </c>
      <c r="P45" s="19">
        <f t="shared" si="13"/>
        <v>0.062135922330097085</v>
      </c>
    </row>
    <row r="46" spans="1:16" ht="11.25">
      <c r="A46" s="5" t="s">
        <v>39</v>
      </c>
      <c r="B46" s="5"/>
      <c r="C46" s="31">
        <f aca="true" t="shared" si="14" ref="C46:P46">C43/C12</f>
        <v>0.017641244011862216</v>
      </c>
      <c r="D46" s="31">
        <f t="shared" si="14"/>
        <v>0.013124875080503676</v>
      </c>
      <c r="E46" s="31">
        <f t="shared" si="14"/>
        <v>0.01239295782139248</v>
      </c>
      <c r="F46" s="32">
        <f t="shared" si="14"/>
        <v>0.01054667382562102</v>
      </c>
      <c r="G46" s="31">
        <f t="shared" si="14"/>
        <v>0.010805171009771988</v>
      </c>
      <c r="H46" s="31">
        <f t="shared" si="14"/>
        <v>0.006981640298461253</v>
      </c>
      <c r="I46" s="31">
        <f t="shared" si="14"/>
        <v>0.006103437198843559</v>
      </c>
      <c r="J46" s="31">
        <f t="shared" si="14"/>
        <v>0.006060359347251976</v>
      </c>
      <c r="K46" s="33">
        <f t="shared" si="14"/>
        <v>0.005018979539130985</v>
      </c>
      <c r="L46" s="31">
        <f t="shared" si="14"/>
        <v>0.003838559507280772</v>
      </c>
      <c r="M46" s="31">
        <f t="shared" si="14"/>
        <v>0.0025721738499115817</v>
      </c>
      <c r="N46" s="31">
        <f t="shared" si="14"/>
        <v>0.0029319601986403034</v>
      </c>
      <c r="O46" s="5">
        <f t="shared" si="14"/>
        <v>0.002766087764013198</v>
      </c>
      <c r="P46" s="25">
        <f t="shared" si="14"/>
        <v>0.004106073567151412</v>
      </c>
    </row>
    <row r="47" spans="1:16" ht="11.25">
      <c r="A47" s="15" t="s">
        <v>40</v>
      </c>
      <c r="E47" s="6"/>
      <c r="F47" s="19"/>
      <c r="K47" s="20"/>
      <c r="L47" s="6"/>
      <c r="M47" s="6"/>
      <c r="N47" s="6"/>
      <c r="O47" s="6"/>
      <c r="P47" s="19"/>
    </row>
    <row r="48" spans="1:16" ht="11.25">
      <c r="A48" s="4" t="s">
        <v>41</v>
      </c>
      <c r="C48" s="27">
        <f aca="true" t="shared" si="15" ref="C48:P48">C25/(C12+C15)</f>
        <v>0.1385537462676203</v>
      </c>
      <c r="D48" s="27">
        <f t="shared" si="15"/>
        <v>0.14292490118577075</v>
      </c>
      <c r="E48" s="27">
        <f t="shared" si="15"/>
        <v>0.13334320480101733</v>
      </c>
      <c r="F48" s="28">
        <f t="shared" si="15"/>
        <v>0.12196440861272245</v>
      </c>
      <c r="G48" s="29">
        <f t="shared" si="15"/>
        <v>0.1124019851549485</v>
      </c>
      <c r="H48" s="29">
        <f t="shared" si="15"/>
        <v>0.09535780589545226</v>
      </c>
      <c r="I48" s="29">
        <f t="shared" si="15"/>
        <v>0.09383646290626038</v>
      </c>
      <c r="J48" s="29">
        <f t="shared" si="15"/>
        <v>0.0924741401367009</v>
      </c>
      <c r="K48" s="30">
        <f t="shared" si="15"/>
        <v>0.08812726263774014</v>
      </c>
      <c r="L48" s="27">
        <f t="shared" si="15"/>
        <v>0.08644271327810364</v>
      </c>
      <c r="M48" s="27">
        <f t="shared" si="15"/>
        <v>0.09501482673119847</v>
      </c>
      <c r="N48" s="27">
        <f t="shared" si="15"/>
        <v>0.10222848568415929</v>
      </c>
      <c r="O48" s="27">
        <f t="shared" si="15"/>
        <v>0.08537675779662394</v>
      </c>
      <c r="P48" s="28">
        <f t="shared" si="15"/>
        <v>0.09871550903901047</v>
      </c>
    </row>
    <row r="49" spans="1:16" ht="11.25">
      <c r="A49" s="5" t="s">
        <v>42</v>
      </c>
      <c r="B49" s="5"/>
      <c r="C49" s="31">
        <f aca="true" t="shared" si="16" ref="C49:P49">C25/C12</f>
        <v>0.17339800341093017</v>
      </c>
      <c r="D49" s="31">
        <f t="shared" si="16"/>
        <v>0.17566457172044683</v>
      </c>
      <c r="E49" s="31">
        <f t="shared" si="16"/>
        <v>0.16285303973192916</v>
      </c>
      <c r="F49" s="32">
        <f t="shared" si="16"/>
        <v>0.1495217014935186</v>
      </c>
      <c r="G49" s="31">
        <f t="shared" si="16"/>
        <v>0.13117874592833875</v>
      </c>
      <c r="H49" s="31">
        <f t="shared" si="16"/>
        <v>0.10628296025676749</v>
      </c>
      <c r="I49" s="31">
        <f t="shared" si="16"/>
        <v>0.10543195548324923</v>
      </c>
      <c r="J49" s="31">
        <f t="shared" si="16"/>
        <v>0.10299048966278757</v>
      </c>
      <c r="K49" s="33">
        <f t="shared" si="16"/>
        <v>0.09750464133787477</v>
      </c>
      <c r="L49" s="31">
        <f t="shared" si="16"/>
        <v>0.09579584051962277</v>
      </c>
      <c r="M49" s="31">
        <f t="shared" si="16"/>
        <v>0.10750753242442943</v>
      </c>
      <c r="N49" s="31">
        <f t="shared" si="16"/>
        <v>0.12317897784537575</v>
      </c>
      <c r="O49" s="31">
        <f t="shared" si="16"/>
        <v>0.10376122076673318</v>
      </c>
      <c r="P49" s="32">
        <f t="shared" si="16"/>
        <v>0.12425149700598802</v>
      </c>
    </row>
    <row r="50" spans="1:16" ht="11.25">
      <c r="A50" s="15" t="s">
        <v>43</v>
      </c>
      <c r="C50" s="29"/>
      <c r="D50" s="34"/>
      <c r="E50" s="27"/>
      <c r="F50" s="28"/>
      <c r="G50" s="29"/>
      <c r="H50" s="29"/>
      <c r="I50" s="29"/>
      <c r="J50" s="29"/>
      <c r="K50" s="30"/>
      <c r="L50" s="27"/>
      <c r="M50" s="27"/>
      <c r="N50" s="27"/>
      <c r="O50" s="27"/>
      <c r="P50" s="28"/>
    </row>
    <row r="51" spans="1:16" ht="11.25">
      <c r="A51" s="4" t="s">
        <v>44</v>
      </c>
      <c r="C51" s="27">
        <f aca="true" t="shared" si="17" ref="C51:P51">C11/C16</f>
        <v>0.2011229404106799</v>
      </c>
      <c r="D51" s="27">
        <f t="shared" si="17"/>
        <v>0.1795368035590961</v>
      </c>
      <c r="E51" s="27">
        <f t="shared" si="17"/>
        <v>0.21422310088218288</v>
      </c>
      <c r="F51" s="28">
        <f t="shared" si="17"/>
        <v>0.20120849104776417</v>
      </c>
      <c r="G51" s="29">
        <f t="shared" si="17"/>
        <v>0.20174220282201755</v>
      </c>
      <c r="H51" s="29">
        <f t="shared" si="17"/>
        <v>0.21211846681660804</v>
      </c>
      <c r="I51" s="29">
        <f t="shared" si="17"/>
        <v>0.22668802105155988</v>
      </c>
      <c r="J51" s="29">
        <f t="shared" si="17"/>
        <v>0.21016656954156954</v>
      </c>
      <c r="K51" s="30">
        <f t="shared" si="17"/>
        <v>0.21700971115731763</v>
      </c>
      <c r="L51" s="27">
        <f t="shared" si="17"/>
        <v>0.20004509898449527</v>
      </c>
      <c r="M51" s="27">
        <f t="shared" si="17"/>
        <v>0.2239769586921805</v>
      </c>
      <c r="N51" s="27">
        <f t="shared" si="17"/>
        <v>0.08929435087402274</v>
      </c>
      <c r="O51" s="27">
        <f t="shared" si="17"/>
        <v>0.22236632379292934</v>
      </c>
      <c r="P51" s="28">
        <f t="shared" si="17"/>
        <v>0.1812575380392483</v>
      </c>
    </row>
    <row r="52" spans="1:16" ht="11.25">
      <c r="A52" s="4" t="s">
        <v>45</v>
      </c>
      <c r="C52" s="27">
        <f aca="true" t="shared" si="18" ref="C52:P52">C11/C10</f>
        <v>0.17002572464502017</v>
      </c>
      <c r="D52" s="27">
        <f t="shared" si="18"/>
        <v>0.15966434565256205</v>
      </c>
      <c r="E52" s="27">
        <f t="shared" si="18"/>
        <v>0.1913567906170865</v>
      </c>
      <c r="F52" s="28">
        <f t="shared" si="18"/>
        <v>0.17296711642506524</v>
      </c>
      <c r="G52" s="29">
        <f t="shared" si="18"/>
        <v>0.17746250071323325</v>
      </c>
      <c r="H52" s="29">
        <f t="shared" si="18"/>
        <v>0.19006476432491573</v>
      </c>
      <c r="I52" s="29">
        <f t="shared" si="18"/>
        <v>0.20113125473382854</v>
      </c>
      <c r="J52" s="29">
        <f t="shared" si="18"/>
        <v>0.1826967051059249</v>
      </c>
      <c r="K52" s="30">
        <f t="shared" si="18"/>
        <v>0.18886121418526236</v>
      </c>
      <c r="L52" s="27">
        <f t="shared" si="18"/>
        <v>0.17589126696817112</v>
      </c>
      <c r="M52" s="27">
        <f t="shared" si="18"/>
        <v>0.19649013843944202</v>
      </c>
      <c r="N52" s="27">
        <f t="shared" si="18"/>
        <v>0.07484175030179921</v>
      </c>
      <c r="O52" s="27">
        <f t="shared" si="18"/>
        <v>0.18811006377534997</v>
      </c>
      <c r="P52" s="28">
        <f t="shared" si="18"/>
        <v>0.15786886348700382</v>
      </c>
    </row>
    <row r="53" spans="1:16" ht="11.25">
      <c r="A53" s="5" t="s">
        <v>46</v>
      </c>
      <c r="B53" s="5"/>
      <c r="C53" s="31">
        <f aca="true" t="shared" si="19" ref="C53:P53">(C11+C15)/C16</f>
        <v>0.3860247430255497</v>
      </c>
      <c r="D53" s="31">
        <f t="shared" si="19"/>
        <v>0.3452010022003437</v>
      </c>
      <c r="E53" s="31">
        <f t="shared" si="19"/>
        <v>0.369427606915717</v>
      </c>
      <c r="F53" s="32">
        <f t="shared" si="19"/>
        <v>0.36833850717718863</v>
      </c>
      <c r="G53" s="31">
        <f t="shared" si="19"/>
        <v>0.32697781610335697</v>
      </c>
      <c r="H53" s="31">
        <f t="shared" si="19"/>
        <v>0.2995742032559074</v>
      </c>
      <c r="I53" s="31">
        <f t="shared" si="19"/>
        <v>0.32008082295309215</v>
      </c>
      <c r="J53" s="31">
        <f t="shared" si="19"/>
        <v>0.30061026936026936</v>
      </c>
      <c r="K53" s="33">
        <f t="shared" si="19"/>
        <v>0.30203879790357374</v>
      </c>
      <c r="L53" s="31">
        <f t="shared" si="19"/>
        <v>0.2876071100881763</v>
      </c>
      <c r="M53" s="31">
        <f t="shared" si="19"/>
        <v>0.3259653173610301</v>
      </c>
      <c r="N53" s="31">
        <f t="shared" si="19"/>
        <v>0.2676119966197722</v>
      </c>
      <c r="O53" s="31">
        <f t="shared" si="19"/>
        <v>0.3842132879248384</v>
      </c>
      <c r="P53" s="32">
        <f t="shared" si="19"/>
        <v>0.36092280453678566</v>
      </c>
    </row>
    <row r="54" spans="1:16" ht="11.25">
      <c r="A54" s="15" t="s">
        <v>47</v>
      </c>
      <c r="C54" s="29"/>
      <c r="D54" s="34"/>
      <c r="E54" s="27"/>
      <c r="F54" s="28"/>
      <c r="G54" s="29"/>
      <c r="H54" s="29"/>
      <c r="I54" s="29"/>
      <c r="J54" s="29"/>
      <c r="K54" s="30"/>
      <c r="L54" s="27"/>
      <c r="M54" s="27"/>
      <c r="N54" s="27"/>
      <c r="O54" s="27"/>
      <c r="P54" s="28"/>
    </row>
    <row r="55" spans="1:16" ht="11.25">
      <c r="A55" s="4" t="s">
        <v>48</v>
      </c>
      <c r="B55" s="6"/>
      <c r="C55" s="27">
        <f>(C40)/C28</f>
        <v>0.015570414906529655</v>
      </c>
      <c r="D55" s="27">
        <f>((D40)/0.75)/D28</f>
        <v>0.01732163924531063</v>
      </c>
      <c r="E55" s="27">
        <f>((E40)/0.5)/E28</f>
        <v>0.017497099495155374</v>
      </c>
      <c r="F55" s="28">
        <f>((F40)/0.25)/F28</f>
        <v>0.029369637217204283</v>
      </c>
      <c r="G55" s="27">
        <f>(G40)/G28</f>
        <v>0.0034446489613463058</v>
      </c>
      <c r="H55" s="29">
        <f>((H40)/0.75)/H28</f>
        <v>0.004250714546906367</v>
      </c>
      <c r="I55" s="29">
        <f>((I40)/0.5)/I28</f>
        <v>0.005332806182377374</v>
      </c>
      <c r="J55" s="29">
        <f>((J40)/0.25)/J28</f>
        <v>0.003498856143183959</v>
      </c>
      <c r="K55" s="30">
        <f>(K40)/K28</f>
        <v>0.01022369185093041</v>
      </c>
      <c r="L55" s="27">
        <f>((L40)/0.75)/L28</f>
        <v>0.013450076047190365</v>
      </c>
      <c r="M55" s="27">
        <f>((M40)/0.5)/M28</f>
        <v>0.018514833858688254</v>
      </c>
      <c r="N55" s="27">
        <f>((N40)/0.25)/N28</f>
        <v>0.013349304955845893</v>
      </c>
      <c r="O55" s="27">
        <f>O40/O28</f>
        <v>0.00577070927866134</v>
      </c>
      <c r="P55" s="28">
        <f>P40/P28</f>
        <v>0.011545522127653118</v>
      </c>
    </row>
    <row r="56" spans="1:16" ht="11.25">
      <c r="A56" s="4" t="s">
        <v>49</v>
      </c>
      <c r="B56" s="6"/>
      <c r="C56" s="27">
        <f>(C40)/C27</f>
        <v>0.01204740193182564</v>
      </c>
      <c r="D56" s="27">
        <f>((D40)/0.75)/D27</f>
        <v>0.013447287378968201</v>
      </c>
      <c r="E56" s="27">
        <f>((E40)/0.5)/E27</f>
        <v>0.013287024910620435</v>
      </c>
      <c r="F56" s="28">
        <f>((F40)/0.25)/F27</f>
        <v>0.02275508007162599</v>
      </c>
      <c r="G56" s="27">
        <f>(G40)/G27</f>
        <v>0.0026507755035967582</v>
      </c>
      <c r="H56" s="29">
        <f>((H40)/0.75)/H27</f>
        <v>0.003297051870683328</v>
      </c>
      <c r="I56" s="29">
        <f>((I40)/0.5)/I27</f>
        <v>0.004061660203608225</v>
      </c>
      <c r="J56" s="29">
        <f>((J40)/0.25)/J27</f>
        <v>0.002861944589136011</v>
      </c>
      <c r="K56" s="30">
        <f>(K40)/K27</f>
        <v>0.007881596248000569</v>
      </c>
      <c r="L56" s="27">
        <f>((L40)/0.75)/L27</f>
        <v>0.010623445606789654</v>
      </c>
      <c r="M56" s="27">
        <f>((M40)/0.5)/M27</f>
        <v>0.01405388647989094</v>
      </c>
      <c r="N56" s="27">
        <f>((N40)/0.25)/N27</f>
        <v>0.01113186333268289</v>
      </c>
      <c r="O56" s="27">
        <f>O40/O27</f>
        <v>0.0044299812987205365</v>
      </c>
      <c r="P56" s="28">
        <f>P40/P27</f>
        <v>0.008511590190979504</v>
      </c>
    </row>
    <row r="57" spans="1:16" ht="11.25">
      <c r="A57" s="4" t="s">
        <v>50</v>
      </c>
      <c r="B57" s="6"/>
      <c r="C57" s="27">
        <f>(C40)/C31</f>
        <v>0.12405760931731918</v>
      </c>
      <c r="D57" s="27">
        <f>((D40)/0.75)/D31</f>
        <v>0.1450312996535023</v>
      </c>
      <c r="E57" s="27">
        <f>((E40)/0.5)/E31</f>
        <v>0.15327564894932014</v>
      </c>
      <c r="F57" s="28">
        <f>((F40)/0.25)/F31</f>
        <v>0.2735057120616019</v>
      </c>
      <c r="G57" s="27">
        <f>(G40)/G31</f>
        <v>0.03433513891315743</v>
      </c>
      <c r="H57" s="29">
        <f>((H40)/0.75)/H31</f>
        <v>0.04683786828494133</v>
      </c>
      <c r="I57" s="29">
        <f>((I40)/0.5)/I31</f>
        <v>0.05647517039922103</v>
      </c>
      <c r="J57" s="29">
        <f>((J40)/0.25)/J31</f>
        <v>0.03603425233876157</v>
      </c>
      <c r="K57" s="30">
        <f>(K40)/K31</f>
        <v>0.11765692716342793</v>
      </c>
      <c r="L57" s="27">
        <f>((L40)/0.75)/L31</f>
        <v>0.15495065446761758</v>
      </c>
      <c r="M57" s="27">
        <f>((M40)/0.5)/M31</f>
        <v>0.19757501257193943</v>
      </c>
      <c r="N57" s="27">
        <f>((N40)/0.25)/N31</f>
        <v>0.13682827936725486</v>
      </c>
      <c r="O57" s="27">
        <f>O40/O31</f>
        <v>0.0632100396301189</v>
      </c>
      <c r="P57" s="28">
        <f>P40/P31</f>
        <v>0.1177289603960396</v>
      </c>
    </row>
    <row r="58" spans="1:16" ht="11.25">
      <c r="A58" s="4" t="s">
        <v>51</v>
      </c>
      <c r="B58" s="6"/>
      <c r="C58" s="27">
        <f aca="true" t="shared" si="20" ref="C58:P58">(C33)/C28</f>
        <v>0.08324668601185944</v>
      </c>
      <c r="D58" s="27">
        <f t="shared" si="20"/>
        <v>0.0672379576196007</v>
      </c>
      <c r="E58" s="27">
        <f t="shared" si="20"/>
        <v>0.04473272799759896</v>
      </c>
      <c r="F58" s="28">
        <f t="shared" si="20"/>
        <v>0.023631261945535137</v>
      </c>
      <c r="G58" s="27">
        <f t="shared" si="20"/>
        <v>0.10159961433955648</v>
      </c>
      <c r="H58" s="27">
        <f t="shared" si="20"/>
        <v>0.07878747173528555</v>
      </c>
      <c r="I58" s="27">
        <f t="shared" si="20"/>
        <v>0.0537234250407431</v>
      </c>
      <c r="J58" s="28">
        <f t="shared" si="20"/>
        <v>0.02818790010957956</v>
      </c>
      <c r="K58" s="27">
        <f t="shared" si="20"/>
        <v>0.15780637668765018</v>
      </c>
      <c r="L58" s="27">
        <f t="shared" si="20"/>
        <v>0.12880996423726723</v>
      </c>
      <c r="M58" s="27">
        <f t="shared" si="20"/>
        <v>0.10386842739106303</v>
      </c>
      <c r="N58" s="27">
        <f t="shared" si="20"/>
        <v>0.028264200351004264</v>
      </c>
      <c r="O58" s="27">
        <f t="shared" si="20"/>
        <v>0.11972563503429562</v>
      </c>
      <c r="P58" s="35">
        <f t="shared" si="20"/>
        <v>0.10635989865428672</v>
      </c>
    </row>
    <row r="59" spans="1:16" ht="11.25">
      <c r="A59" s="4" t="s">
        <v>52</v>
      </c>
      <c r="B59" s="6"/>
      <c r="C59" s="27">
        <f aca="true" t="shared" si="21" ref="C59:P59">(C34)/C28</f>
        <v>0.06326922156626454</v>
      </c>
      <c r="D59" s="27">
        <f t="shared" si="21"/>
        <v>0.05074856186495706</v>
      </c>
      <c r="E59" s="27">
        <f t="shared" si="21"/>
        <v>0.03328749266474643</v>
      </c>
      <c r="F59" s="28">
        <f t="shared" si="21"/>
        <v>0.017002760745898418</v>
      </c>
      <c r="G59" s="27">
        <f t="shared" si="21"/>
        <v>0.08285564028398633</v>
      </c>
      <c r="H59" s="27">
        <f t="shared" si="21"/>
        <v>0.066845769807688</v>
      </c>
      <c r="I59" s="27">
        <f t="shared" si="21"/>
        <v>0.045655257066542845</v>
      </c>
      <c r="J59" s="28">
        <f t="shared" si="21"/>
        <v>0.024232462464194398</v>
      </c>
      <c r="K59" s="27">
        <f t="shared" si="21"/>
        <v>0.1302403102093573</v>
      </c>
      <c r="L59" s="27">
        <f t="shared" si="21"/>
        <v>0.10572943642865952</v>
      </c>
      <c r="M59" s="27">
        <f t="shared" si="21"/>
        <v>0.08482998397754762</v>
      </c>
      <c r="N59" s="27">
        <f t="shared" si="21"/>
        <v>0.022402986321976768</v>
      </c>
      <c r="O59" s="27">
        <f t="shared" si="21"/>
        <v>0.09829501771312278</v>
      </c>
      <c r="P59" s="35">
        <f t="shared" si="21"/>
        <v>0.08004490768133753</v>
      </c>
    </row>
    <row r="60" spans="1:16" ht="11.25">
      <c r="A60" s="4" t="s">
        <v>53</v>
      </c>
      <c r="B60" s="6"/>
      <c r="C60" s="27">
        <f aca="true" t="shared" si="22" ref="C60:P60">(C35)/C28</f>
        <v>0.01997746444559491</v>
      </c>
      <c r="D60" s="27">
        <f t="shared" si="22"/>
        <v>0.016489395754643643</v>
      </c>
      <c r="E60" s="27">
        <f t="shared" si="22"/>
        <v>0.011445235332852528</v>
      </c>
      <c r="F60" s="28">
        <f t="shared" si="22"/>
        <v>0.0066285011996367205</v>
      </c>
      <c r="G60" s="27">
        <f t="shared" si="22"/>
        <v>0.018743974055570163</v>
      </c>
      <c r="H60" s="27">
        <f t="shared" si="22"/>
        <v>0.011941701927597555</v>
      </c>
      <c r="I60" s="27">
        <f t="shared" si="22"/>
        <v>0.008068167974200251</v>
      </c>
      <c r="J60" s="28">
        <f t="shared" si="22"/>
        <v>0.003955437645385163</v>
      </c>
      <c r="K60" s="27">
        <f t="shared" si="22"/>
        <v>0.027566066478292878</v>
      </c>
      <c r="L60" s="27">
        <f t="shared" si="22"/>
        <v>0.02308052780860772</v>
      </c>
      <c r="M60" s="27">
        <f t="shared" si="22"/>
        <v>0.01903844341351541</v>
      </c>
      <c r="N60" s="27">
        <f t="shared" si="22"/>
        <v>0.005861214029027496</v>
      </c>
      <c r="O60" s="27">
        <f t="shared" si="22"/>
        <v>0.021430617321172834</v>
      </c>
      <c r="P60" s="35">
        <f t="shared" si="22"/>
        <v>0.02631499097294919</v>
      </c>
    </row>
    <row r="61" spans="1:16" ht="11.25">
      <c r="A61" s="4" t="s">
        <v>54</v>
      </c>
      <c r="B61" s="6"/>
      <c r="C61" s="27">
        <f>(C38)/(C37)</f>
        <v>0.5371262291792093</v>
      </c>
      <c r="D61" s="27">
        <f>(D38/0.75)/(D37/0.75)</f>
        <v>0.5743618993298161</v>
      </c>
      <c r="E61" s="27">
        <f>(E38/0.5)/(E37/0.5)</f>
        <v>0.5730969760166841</v>
      </c>
      <c r="F61" s="28">
        <f>(F38/0.25)/(F37/0.25)</f>
        <v>0.4491638795986622</v>
      </c>
      <c r="G61" s="27">
        <f>(G38)/(G37)</f>
        <v>0.7278472317626048</v>
      </c>
      <c r="H61" s="27">
        <f>(H38/0.75)/(H37/0.75)</f>
        <v>0.7762265656162745</v>
      </c>
      <c r="I61" s="27">
        <f>(I38/0.5)/(I37/0.5)</f>
        <v>0.7634626519976838</v>
      </c>
      <c r="J61" s="28">
        <f>(J38/0.25)/(J37/0.25)</f>
        <v>0.7717917675544794</v>
      </c>
      <c r="K61" s="27">
        <f>(K38)/(K37)</f>
        <v>0.7015357000398883</v>
      </c>
      <c r="L61" s="27">
        <f>((L38)/0.75)/((L37)/0.75)</f>
        <v>0.6741017603086569</v>
      </c>
      <c r="M61" s="27">
        <f>((M38)/0.5)/((M37)/0.5)</f>
        <v>0.680636521191114</v>
      </c>
      <c r="N61" s="27">
        <f>(N38/0.25)/(N37/0.25)</f>
        <v>0.619734564339296</v>
      </c>
      <c r="O61" s="27">
        <f>O38/O37</f>
        <v>0.7883672039243167</v>
      </c>
      <c r="P61" s="28">
        <f>P38/P37</f>
        <v>0.5704514363885089</v>
      </c>
    </row>
    <row r="62" spans="1:16" ht="11.25">
      <c r="A62" s="5" t="s">
        <v>55</v>
      </c>
      <c r="B62" s="5"/>
      <c r="C62" s="31">
        <f aca="true" t="shared" si="23" ref="C62:P62">(C36)/C28</f>
        <v>0.02337955007200066</v>
      </c>
      <c r="D62" s="31">
        <f t="shared" si="23"/>
        <v>0.015579415234628646</v>
      </c>
      <c r="E62" s="31">
        <f t="shared" si="23"/>
        <v>0.010034178921952902</v>
      </c>
      <c r="F62" s="32">
        <f t="shared" si="23"/>
        <v>0.006881531920277249</v>
      </c>
      <c r="G62" s="31">
        <f t="shared" si="23"/>
        <v>0.013156280129722149</v>
      </c>
      <c r="H62" s="31">
        <f t="shared" si="23"/>
        <v>0.01050887679942687</v>
      </c>
      <c r="I62" s="31">
        <f t="shared" si="23"/>
        <v>0.0078107221584992744</v>
      </c>
      <c r="J62" s="32">
        <f t="shared" si="23"/>
        <v>0.003984274371839976</v>
      </c>
      <c r="K62" s="31">
        <f t="shared" si="23"/>
        <v>0.02116168156406936</v>
      </c>
      <c r="L62" s="31">
        <f t="shared" si="23"/>
        <v>0.017832038475767666</v>
      </c>
      <c r="M62" s="31">
        <f t="shared" si="23"/>
        <v>0.014195055031364213</v>
      </c>
      <c r="N62" s="31">
        <f t="shared" si="23"/>
        <v>0.0037941889294370004</v>
      </c>
      <c r="O62" s="31">
        <f t="shared" si="23"/>
        <v>0.012988618376422702</v>
      </c>
      <c r="P62" s="36">
        <f t="shared" si="23"/>
        <v>0.006956139153126091</v>
      </c>
    </row>
    <row r="63" spans="1:16" ht="11.25">
      <c r="A63" s="15" t="s">
        <v>56</v>
      </c>
      <c r="B63" s="6"/>
      <c r="C63" s="6"/>
      <c r="D63" s="6"/>
      <c r="E63" s="6"/>
      <c r="F63" s="19"/>
      <c r="K63" s="20"/>
      <c r="L63" s="6"/>
      <c r="M63" s="6"/>
      <c r="N63" s="6"/>
      <c r="O63" s="6"/>
      <c r="P63" s="19"/>
    </row>
    <row r="64" spans="1:16" ht="11.25">
      <c r="A64" s="4" t="s">
        <v>57</v>
      </c>
      <c r="B64" s="6"/>
      <c r="C64" s="6">
        <v>127</v>
      </c>
      <c r="D64" s="22">
        <v>128</v>
      </c>
      <c r="E64" s="22">
        <v>121</v>
      </c>
      <c r="F64" s="19">
        <f>135+2</f>
        <v>137</v>
      </c>
      <c r="G64" s="4">
        <v>139</v>
      </c>
      <c r="H64" s="4">
        <v>135</v>
      </c>
      <c r="I64" s="4">
        <v>134</v>
      </c>
      <c r="J64" s="4">
        <v>140</v>
      </c>
      <c r="K64" s="20">
        <v>140</v>
      </c>
      <c r="L64" s="6">
        <v>138</v>
      </c>
      <c r="M64" s="6">
        <v>130</v>
      </c>
      <c r="N64" s="6">
        <v>114</v>
      </c>
      <c r="O64" s="6">
        <v>104</v>
      </c>
      <c r="P64" s="19">
        <v>80</v>
      </c>
    </row>
    <row r="65" spans="1:16" ht="11.25">
      <c r="A65" s="4" t="s">
        <v>58</v>
      </c>
      <c r="B65" s="6"/>
      <c r="C65" s="6">
        <v>7</v>
      </c>
      <c r="D65" s="22">
        <v>7</v>
      </c>
      <c r="E65" s="22">
        <v>7</v>
      </c>
      <c r="F65" s="19">
        <v>7</v>
      </c>
      <c r="G65" s="4">
        <v>7</v>
      </c>
      <c r="H65" s="4">
        <v>7</v>
      </c>
      <c r="I65" s="4">
        <v>7</v>
      </c>
      <c r="J65" s="4">
        <v>7</v>
      </c>
      <c r="K65" s="20">
        <v>4</v>
      </c>
      <c r="L65" s="6">
        <v>4</v>
      </c>
      <c r="M65" s="6">
        <v>4</v>
      </c>
      <c r="N65" s="6">
        <v>4</v>
      </c>
      <c r="O65" s="6">
        <v>4</v>
      </c>
      <c r="P65" s="19">
        <v>4</v>
      </c>
    </row>
    <row r="66" spans="1:16" ht="11.25">
      <c r="A66" s="4" t="s">
        <v>59</v>
      </c>
      <c r="B66" s="6"/>
      <c r="C66" s="6">
        <f aca="true" t="shared" si="24" ref="C66:P66">C12/C64</f>
        <v>1449.716535433071</v>
      </c>
      <c r="D66" s="6">
        <f t="shared" si="24"/>
        <v>1407.15625</v>
      </c>
      <c r="E66" s="6">
        <f t="shared" si="24"/>
        <v>1553.801652892562</v>
      </c>
      <c r="F66" s="19">
        <f t="shared" si="24"/>
        <v>1332.2773722627737</v>
      </c>
      <c r="G66" s="4">
        <f t="shared" si="24"/>
        <v>1413.525179856115</v>
      </c>
      <c r="H66" s="4">
        <f t="shared" si="24"/>
        <v>1435.5111111111112</v>
      </c>
      <c r="I66" s="4">
        <f t="shared" si="24"/>
        <v>1440.3432835820895</v>
      </c>
      <c r="J66" s="4">
        <f t="shared" si="24"/>
        <v>1403.7357142857143</v>
      </c>
      <c r="K66" s="20">
        <f t="shared" si="24"/>
        <v>1465.8642857142856</v>
      </c>
      <c r="L66" s="6">
        <f t="shared" si="24"/>
        <v>1508.340579710145</v>
      </c>
      <c r="M66" s="6">
        <f t="shared" si="24"/>
        <v>1483.3307692307692</v>
      </c>
      <c r="N66" s="6">
        <f t="shared" si="24"/>
        <v>1436.078947368421</v>
      </c>
      <c r="O66" s="6">
        <f t="shared" si="24"/>
        <v>1459.9903846153845</v>
      </c>
      <c r="P66" s="19">
        <f t="shared" si="24"/>
        <v>1461.25</v>
      </c>
    </row>
    <row r="67" spans="1:16" ht="11.25">
      <c r="A67" s="4" t="s">
        <v>60</v>
      </c>
      <c r="B67" s="6"/>
      <c r="C67" s="6">
        <f aca="true" t="shared" si="25" ref="C67:P67">C16/C64</f>
        <v>1971.763779527559</v>
      </c>
      <c r="D67" s="6">
        <f t="shared" si="25"/>
        <v>1945.71875</v>
      </c>
      <c r="E67" s="6">
        <f t="shared" si="25"/>
        <v>2215.5785123966944</v>
      </c>
      <c r="F67" s="19">
        <f t="shared" si="25"/>
        <v>1801.1240875912408</v>
      </c>
      <c r="G67" s="4">
        <f t="shared" si="25"/>
        <v>1885.4820143884892</v>
      </c>
      <c r="H67" s="4">
        <f t="shared" si="25"/>
        <v>1880.5703703703705</v>
      </c>
      <c r="I67" s="4">
        <f t="shared" si="25"/>
        <v>1905.7686567164178</v>
      </c>
      <c r="J67" s="4">
        <f t="shared" si="25"/>
        <v>1765.0285714285715</v>
      </c>
      <c r="K67" s="20">
        <f t="shared" si="25"/>
        <v>1834.4142857142858</v>
      </c>
      <c r="L67" s="6">
        <f t="shared" si="25"/>
        <v>1863.855072463768</v>
      </c>
      <c r="M67" s="6">
        <f t="shared" si="25"/>
        <v>1912.2846153846153</v>
      </c>
      <c r="N67" s="6">
        <f t="shared" si="25"/>
        <v>1650.4649122807018</v>
      </c>
      <c r="O67" s="6">
        <f t="shared" si="25"/>
        <v>1942.4807692307693</v>
      </c>
      <c r="P67" s="19">
        <f t="shared" si="25"/>
        <v>2103.9125</v>
      </c>
    </row>
    <row r="68" spans="1:16" ht="11.25">
      <c r="A68" s="5" t="s">
        <v>61</v>
      </c>
      <c r="B68" s="5"/>
      <c r="C68" s="5">
        <f aca="true" t="shared" si="26" ref="C68:P68">C40/C64</f>
        <v>28.181102362204726</v>
      </c>
      <c r="D68" s="5">
        <f t="shared" si="26"/>
        <v>22.1953125</v>
      </c>
      <c r="E68" s="5">
        <f t="shared" si="26"/>
        <v>16.140495867768596</v>
      </c>
      <c r="F68" s="25">
        <f t="shared" si="26"/>
        <v>11.861313868613138</v>
      </c>
      <c r="G68" s="5">
        <f t="shared" si="26"/>
        <v>5.654676258992806</v>
      </c>
      <c r="H68" s="5">
        <f t="shared" si="26"/>
        <v>5.274074074074074</v>
      </c>
      <c r="I68" s="5">
        <f t="shared" si="26"/>
        <v>4.3283582089552235</v>
      </c>
      <c r="J68" s="5">
        <f t="shared" si="26"/>
        <v>1.3</v>
      </c>
      <c r="K68" s="26">
        <f t="shared" si="26"/>
        <v>15.028571428571428</v>
      </c>
      <c r="L68" s="5">
        <f t="shared" si="26"/>
        <v>14.818840579710145</v>
      </c>
      <c r="M68" s="5">
        <f t="shared" si="26"/>
        <v>13.6</v>
      </c>
      <c r="N68" s="5">
        <f t="shared" si="26"/>
        <v>5.254385964912281</v>
      </c>
      <c r="O68" s="5">
        <f t="shared" si="26"/>
        <v>9.201923076923077</v>
      </c>
      <c r="P68" s="25">
        <f t="shared" si="26"/>
        <v>19.025</v>
      </c>
    </row>
    <row r="69" spans="1:16" ht="11.25">
      <c r="A69" s="15" t="s">
        <v>62</v>
      </c>
      <c r="B69" s="6"/>
      <c r="C69" s="6"/>
      <c r="D69" s="6"/>
      <c r="E69" s="6"/>
      <c r="F69" s="19"/>
      <c r="K69" s="20"/>
      <c r="L69" s="6"/>
      <c r="M69" s="6"/>
      <c r="N69" s="6"/>
      <c r="O69" s="6"/>
      <c r="P69" s="19"/>
    </row>
    <row r="70" spans="1:16" ht="11.25">
      <c r="A70" s="4" t="s">
        <v>63</v>
      </c>
      <c r="B70" s="6"/>
      <c r="C70" s="29">
        <f aca="true" t="shared" si="27" ref="C70:K70">(C10-G10)/G10</f>
        <v>-0.005789775759467542</v>
      </c>
      <c r="D70" s="27">
        <f t="shared" si="27"/>
        <v>-0.01159404944676796</v>
      </c>
      <c r="E70" s="27">
        <f t="shared" si="27"/>
        <v>0.04272779704122687</v>
      </c>
      <c r="F70" s="28">
        <f t="shared" si="27"/>
        <v>0.00979743753913698</v>
      </c>
      <c r="G70" s="29">
        <f t="shared" si="27"/>
        <v>0.00963757434046663</v>
      </c>
      <c r="H70" s="29">
        <f t="shared" si="27"/>
        <v>-0.031442606475166904</v>
      </c>
      <c r="I70" s="29">
        <f t="shared" si="27"/>
        <v>0.015700154919487744</v>
      </c>
      <c r="J70" s="29">
        <f t="shared" si="27"/>
        <v>0.2662559524604988</v>
      </c>
      <c r="K70" s="30">
        <f t="shared" si="27"/>
        <v>0.23570498352225855</v>
      </c>
      <c r="L70" s="27">
        <f>(L10-220797)/220797</f>
        <v>0.32489571869183004</v>
      </c>
      <c r="M70" s="27">
        <f>(M10-219833)/219833</f>
        <v>0.28903758762333226</v>
      </c>
      <c r="N70" s="27">
        <f>(N10-205990)/205990</f>
        <v>0.08979562114665761</v>
      </c>
      <c r="O70" s="27">
        <f>(O10-P10)/P10</f>
        <v>0.23574766234236658</v>
      </c>
      <c r="P70" s="28">
        <f>(P10-164382)/164382</f>
        <v>0.17560925162122373</v>
      </c>
    </row>
    <row r="71" spans="1:16" ht="11.25">
      <c r="A71" s="4" t="s">
        <v>64</v>
      </c>
      <c r="B71" s="6"/>
      <c r="C71" s="29">
        <f aca="true" t="shared" si="28" ref="C71:I73">(C12-G12)/G12</f>
        <v>-0.06293770358306189</v>
      </c>
      <c r="D71" s="27">
        <f t="shared" si="28"/>
        <v>-0.07058010051910792</v>
      </c>
      <c r="E71" s="27">
        <f t="shared" si="28"/>
        <v>-0.025885205641275402</v>
      </c>
      <c r="F71" s="28">
        <f t="shared" si="28"/>
        <v>-0.07124356945497473</v>
      </c>
      <c r="G71" s="29">
        <f t="shared" si="28"/>
        <v>-0.04259310694324655</v>
      </c>
      <c r="H71" s="29">
        <f t="shared" si="28"/>
        <v>-0.06897396601505637</v>
      </c>
      <c r="I71" s="29">
        <f t="shared" si="28"/>
        <v>0.0008971493468441605</v>
      </c>
      <c r="J71" s="29">
        <f>J12/N12-1</f>
        <v>0.20041169607789233</v>
      </c>
      <c r="K71" s="30">
        <f>K12/O12-1</f>
        <v>0.35156975480607744</v>
      </c>
      <c r="L71" s="27">
        <f>L12/142994-1</f>
        <v>0.45566247534861604</v>
      </c>
      <c r="M71" s="27">
        <f>M12/131873-1</f>
        <v>0.4622629347933238</v>
      </c>
      <c r="N71" s="27">
        <f>N12/134386-1</f>
        <v>0.2182295774857499</v>
      </c>
      <c r="O71" s="27">
        <f>O12/P12-1</f>
        <v>0.29887938408896497</v>
      </c>
      <c r="P71" s="28">
        <f>P12/100433-1</f>
        <v>0.1639600529706371</v>
      </c>
    </row>
    <row r="72" spans="2:16" ht="11.25">
      <c r="B72" s="6" t="s">
        <v>15</v>
      </c>
      <c r="C72" s="29">
        <f t="shared" si="28"/>
        <v>-0.0447966700382882</v>
      </c>
      <c r="D72" s="27">
        <f t="shared" si="28"/>
        <v>-0.052111850349868497</v>
      </c>
      <c r="E72" s="27">
        <f t="shared" si="28"/>
        <v>-0.010365114977808442</v>
      </c>
      <c r="F72" s="28">
        <f t="shared" si="28"/>
        <v>-0.06831072226319392</v>
      </c>
      <c r="G72" s="29">
        <f t="shared" si="28"/>
        <v>-0.05245278095582184</v>
      </c>
      <c r="H72" s="29">
        <f t="shared" si="28"/>
        <v>-0.08089790995195065</v>
      </c>
      <c r="I72" s="29">
        <f t="shared" si="28"/>
        <v>-0.008403406611757227</v>
      </c>
      <c r="J72" s="29">
        <f>(J13-N13)/N13</f>
        <v>0.1700323427712975</v>
      </c>
      <c r="K72" s="30">
        <f>(K13-O13)/O13</f>
        <v>0.3303693022510614</v>
      </c>
      <c r="L72" s="27">
        <f>(L13-142724)/142724</f>
        <v>0.417364984165242</v>
      </c>
      <c r="M72" s="27">
        <f>(M13-131344)/131344</f>
        <v>0.41338013156291875</v>
      </c>
      <c r="N72" s="27">
        <f>(N13-134340)/134340</f>
        <v>0.19909930028286438</v>
      </c>
      <c r="O72" s="27">
        <f>(O13-P13)/P13</f>
        <v>0.2817428060477971</v>
      </c>
      <c r="P72" s="28">
        <f>(P13-100328)/100328</f>
        <v>0.16486922892911252</v>
      </c>
    </row>
    <row r="73" spans="2:16" ht="11.25">
      <c r="B73" s="6" t="s">
        <v>16</v>
      </c>
      <c r="C73" s="37">
        <f t="shared" si="28"/>
        <v>-0.5107857236240031</v>
      </c>
      <c r="D73" s="37">
        <f t="shared" si="28"/>
        <v>-0.5070547858141604</v>
      </c>
      <c r="E73" s="37">
        <f t="shared" si="28"/>
        <v>-0.3459168813711213</v>
      </c>
      <c r="F73" s="28">
        <f t="shared" si="28"/>
        <v>-0.13994531444195873</v>
      </c>
      <c r="G73" s="27">
        <f t="shared" si="28"/>
        <v>0.2883611251473808</v>
      </c>
      <c r="H73" s="29">
        <f t="shared" si="28"/>
        <v>0.3427206007851169</v>
      </c>
      <c r="I73" s="29">
        <f t="shared" si="28"/>
        <v>0.24089519043647484</v>
      </c>
      <c r="J73" s="29">
        <f>(J14-N14)/N14</f>
        <v>2.063975628332064</v>
      </c>
      <c r="K73" s="30">
        <v>1.9060205580029368</v>
      </c>
      <c r="L73" s="27">
        <v>20.7</v>
      </c>
      <c r="M73" s="27">
        <v>12.599243856332704</v>
      </c>
      <c r="N73" s="27">
        <v>57.355555555555554</v>
      </c>
      <c r="O73" s="27">
        <f>(O14-P14)/P14</f>
        <v>64.90322580645162</v>
      </c>
      <c r="P73" s="28">
        <f>(P14-105)/105</f>
        <v>-0.7047619047619048</v>
      </c>
    </row>
    <row r="74" spans="1:16" ht="11.25">
      <c r="A74" s="4" t="s">
        <v>65</v>
      </c>
      <c r="B74" s="6"/>
      <c r="C74" s="29">
        <f aca="true" t="shared" si="29" ref="C74:I75">(C16-G16)/G16</f>
        <v>-0.044520417273982954</v>
      </c>
      <c r="D74" s="37">
        <f t="shared" si="29"/>
        <v>-0.01900526632975811</v>
      </c>
      <c r="E74" s="27">
        <f t="shared" si="29"/>
        <v>0.04977816762147917</v>
      </c>
      <c r="F74" s="28">
        <f t="shared" si="29"/>
        <v>-0.0014164076664076664</v>
      </c>
      <c r="G74" s="29">
        <f t="shared" si="29"/>
        <v>0.02049700566159693</v>
      </c>
      <c r="H74" s="29">
        <f t="shared" si="29"/>
        <v>-0.012965958042393045</v>
      </c>
      <c r="I74" s="29">
        <f t="shared" si="29"/>
        <v>0.027256966093717944</v>
      </c>
      <c r="J74" s="29">
        <f>J16/N16-1</f>
        <v>0.3133141645363082</v>
      </c>
      <c r="K74" s="30">
        <f>K16/O16-1</f>
        <v>0.2712629567662288</v>
      </c>
      <c r="L74" s="27">
        <f>L16/197438-1</f>
        <v>0.30274820449964035</v>
      </c>
      <c r="M74" s="27">
        <f>M16/195691-1</f>
        <v>0.2703547940375388</v>
      </c>
      <c r="N74" s="27">
        <f>N16/180461-1</f>
        <v>0.04262416810280345</v>
      </c>
      <c r="O74" s="27">
        <f>O16/P16-1</f>
        <v>0.20025191161704692</v>
      </c>
      <c r="P74" s="28">
        <f>P16/141212-1</f>
        <v>0.19191711752542284</v>
      </c>
    </row>
    <row r="75" spans="2:16" ht="11.25">
      <c r="B75" s="6" t="s">
        <v>15</v>
      </c>
      <c r="C75" s="29">
        <f t="shared" si="29"/>
        <v>0.03629810919379989</v>
      </c>
      <c r="D75" s="27">
        <f t="shared" si="29"/>
        <v>0.044921472778313695</v>
      </c>
      <c r="E75" s="27">
        <f t="shared" si="29"/>
        <v>0.09821033327009422</v>
      </c>
      <c r="F75" s="28">
        <f t="shared" si="29"/>
        <v>-0.01928106529788865</v>
      </c>
      <c r="G75" s="29">
        <f t="shared" si="29"/>
        <v>-0.00976056201203581</v>
      </c>
      <c r="H75" s="29">
        <f t="shared" si="29"/>
        <v>0.02195982432140543</v>
      </c>
      <c r="I75" s="29">
        <f t="shared" si="29"/>
        <v>0.027157232636313935</v>
      </c>
      <c r="J75" s="29">
        <f>(J17-N17)/N17</f>
        <v>0.30432408280792334</v>
      </c>
      <c r="K75" s="30">
        <f>(K17-O17)/O17</f>
        <v>0.24600555527241222</v>
      </c>
      <c r="L75" s="27">
        <f>(L17-143907)/143907</f>
        <v>0.25467836866865406</v>
      </c>
      <c r="M75" s="27">
        <f>(M17-140857)/140857</f>
        <v>0.31153581291664595</v>
      </c>
      <c r="N75" s="27">
        <f>(N17-125775)/125775</f>
        <v>0.12105744384814152</v>
      </c>
      <c r="O75" s="27">
        <f>(O17-P17)/P17</f>
        <v>0.34071302892089034</v>
      </c>
      <c r="P75" s="28">
        <f>(P17-105264)/105264</f>
        <v>0.11223210214318285</v>
      </c>
    </row>
    <row r="76" spans="2:16" ht="11.25">
      <c r="B76" s="6" t="s">
        <v>16</v>
      </c>
      <c r="C76" s="29">
        <f aca="true" t="shared" si="30" ref="C76:K76">(C21-G21)/G21</f>
        <v>-0.27333060460764824</v>
      </c>
      <c r="D76" s="27">
        <f t="shared" si="30"/>
        <v>-0.18908514166246124</v>
      </c>
      <c r="E76" s="27">
        <f t="shared" si="30"/>
        <v>-0.09028148193303565</v>
      </c>
      <c r="F76" s="28">
        <f t="shared" si="30"/>
        <v>0.050575221939138826</v>
      </c>
      <c r="G76" s="29">
        <f t="shared" si="30"/>
        <v>0.11713889115701805</v>
      </c>
      <c r="H76" s="29">
        <f t="shared" si="30"/>
        <v>-0.09523188311264758</v>
      </c>
      <c r="I76" s="29">
        <f t="shared" si="30"/>
        <v>0.027545491559397412</v>
      </c>
      <c r="J76" s="29">
        <f t="shared" si="30"/>
        <v>0.3401976586359009</v>
      </c>
      <c r="K76" s="30">
        <f t="shared" si="30"/>
        <v>0.35926748057713653</v>
      </c>
      <c r="L76" s="27">
        <f>(L21-53532)/53532</f>
        <v>0.4319472465067623</v>
      </c>
      <c r="M76" s="27">
        <f>(M21-54834)/54834</f>
        <v>0.16456942772732247</v>
      </c>
      <c r="N76" s="27">
        <f>(N21-54686)/54686</f>
        <v>-0.13776835021760597</v>
      </c>
      <c r="O76" s="27">
        <f>(O21-P21)/P21</f>
        <v>-0.12071825900263491</v>
      </c>
      <c r="P76" s="28">
        <f>(P21-35948)/35948</f>
        <v>0.425253143429398</v>
      </c>
    </row>
    <row r="77" spans="1:16" ht="11.25">
      <c r="A77" s="4" t="s">
        <v>66</v>
      </c>
      <c r="C77" s="29">
        <f aca="true" t="shared" si="31" ref="C77:I77">C25/G25-1</f>
        <v>0.23865135407775284</v>
      </c>
      <c r="D77" s="27">
        <f t="shared" si="31"/>
        <v>0.5361460406855367</v>
      </c>
      <c r="E77" s="27">
        <f t="shared" si="31"/>
        <v>0.5046439628482973</v>
      </c>
      <c r="F77" s="28">
        <f t="shared" si="31"/>
        <v>0.34836956521739126</v>
      </c>
      <c r="G77" s="29">
        <f t="shared" si="31"/>
        <v>0.288055972013993</v>
      </c>
      <c r="H77" s="29">
        <f t="shared" si="31"/>
        <v>0.032948846539618826</v>
      </c>
      <c r="I77" s="29">
        <f t="shared" si="31"/>
        <v>-0.018426511022140768</v>
      </c>
      <c r="J77" s="29">
        <f>(J25-N25)/N25</f>
        <v>0.003669542794803134</v>
      </c>
      <c r="K77" s="30">
        <f>(K25-O25)/O25</f>
        <v>0.27007299270072993</v>
      </c>
      <c r="L77" s="27">
        <f>(L25-15255)/15255</f>
        <v>0.30711242215666995</v>
      </c>
      <c r="M77" s="27">
        <f>(M25-15062)/15062</f>
        <v>0.3763776390917541</v>
      </c>
      <c r="N77" s="27">
        <f>(N25-14856)/14856</f>
        <v>0.3574313408723748</v>
      </c>
      <c r="O77" s="27">
        <f>(O25-P25)/P25</f>
        <v>0.0846815834767642</v>
      </c>
      <c r="P77" s="28">
        <f>(P25-11332)/11332</f>
        <v>0.28176844334627604</v>
      </c>
    </row>
    <row r="78" spans="1:16" ht="11.25">
      <c r="A78" s="5" t="s">
        <v>67</v>
      </c>
      <c r="B78" s="5"/>
      <c r="C78" s="31">
        <f aca="true" t="shared" si="32" ref="C78:I78">(C40-G40)/G40</f>
        <v>3.553435114503817</v>
      </c>
      <c r="D78" s="31">
        <f t="shared" si="32"/>
        <v>2.990168539325843</v>
      </c>
      <c r="E78" s="31">
        <f t="shared" si="32"/>
        <v>2.367241379310345</v>
      </c>
      <c r="F78" s="32">
        <f t="shared" si="32"/>
        <v>7.928571428571429</v>
      </c>
      <c r="G78" s="31">
        <f t="shared" si="32"/>
        <v>-0.626425855513308</v>
      </c>
      <c r="H78" s="31">
        <f t="shared" si="32"/>
        <v>-0.6518337408312959</v>
      </c>
      <c r="I78" s="31">
        <f t="shared" si="32"/>
        <v>-0.6719457013574661</v>
      </c>
      <c r="J78" s="31">
        <f>J40/N40-1</f>
        <v>-0.6961602671118531</v>
      </c>
      <c r="K78" s="33">
        <f>K40/O40-1</f>
        <v>1.1985370950888194</v>
      </c>
      <c r="L78" s="31">
        <f>L40/651-1</f>
        <v>2.141321044546851</v>
      </c>
      <c r="M78" s="31">
        <f>M40/596-1</f>
        <v>1.9664429530201342</v>
      </c>
      <c r="N78" s="31">
        <f>N40/330-1</f>
        <v>0.8151515151515152</v>
      </c>
      <c r="O78" s="31">
        <f>(O40-P40)/P40</f>
        <v>-0.3712220762155059</v>
      </c>
      <c r="P78" s="32">
        <f>(P40-1521)/1521</f>
        <v>0.0006574621959237344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2017-06-16T16:05:36Z</dcterms:created>
  <dcterms:modified xsi:type="dcterms:W3CDTF">2017-06-16T16:05:39Z</dcterms:modified>
  <cp:category/>
  <cp:version/>
  <cp:contentType/>
  <cp:contentStatus/>
</cp:coreProperties>
</file>