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Metrobank" sheetId="1" r:id="rId1"/>
  </sheets>
  <definedNames/>
  <calcPr fullCalcOnLoad="1"/>
</workbook>
</file>

<file path=xl/sharedStrings.xml><?xml version="1.0" encoding="utf-8"?>
<sst xmlns="http://schemas.openxmlformats.org/spreadsheetml/2006/main" count="89" uniqueCount="68">
  <si>
    <t>CUADRO No 18-15</t>
  </si>
  <si>
    <t>METROBANK</t>
  </si>
  <si>
    <t>ESTADISTICA FINANCIERA. TRIMESTRES  2000, 2001 Y 2002</t>
  </si>
  <si>
    <t>(En miles de balboas)</t>
  </si>
  <si>
    <t>Años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</si>
  <si>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</si>
  <si>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</si>
  <si>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</si>
  <si>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</si>
  <si>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</si>
  <si>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</si>
  <si>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</si>
  <si>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</si>
  <si>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</si>
  <si>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</si>
  <si>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</si>
  <si>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</si>
  <si>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</si>
  <si>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</si>
  <si>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</si>
  <si>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</si>
  <si>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</si>
  <si>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</si>
  <si>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</si>
  <si>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</si>
  <si>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</si>
  <si>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</si>
  <si>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</si>
  <si>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</si>
  <si>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</si>
  <si>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</si>
  <si>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</si>
  <si>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</si>
  <si>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</si>
  <si>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</si>
  <si>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</si>
  <si>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Provisiones para Préstamos</t>
  </si>
  <si>
    <t>Préstamos Vencidos / Préstamos Totales</t>
  </si>
  <si>
    <t xml:space="preserve">Provisiones Cuentas Malas / Préstamos Vencidos </t>
  </si>
  <si>
    <t xml:space="preserve">Provisiones / Préstamos Totales </t>
  </si>
  <si>
    <t>Razones de Capital</t>
  </si>
  <si>
    <t>Patrimonio / Activos Generadores de Ingresos</t>
  </si>
  <si>
    <t>Patrimonio / 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</si>
  <si>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</si>
  <si>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</si>
  <si>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</si>
  <si>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</si>
  <si>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</si>
  <si>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</si>
  <si>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</si>
  <si>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Utilidad Neta / Patrimonio Total (Promedio)</t>
  </si>
  <si>
    <t>Ingresos por Intereses / Activos Gen. De Ing. (Promedio)</t>
  </si>
  <si>
    <t>Egresos Operaciones / Activos Gen. De Ing. (Promedio)</t>
  </si>
  <si>
    <t>Ingresos Netos por Intereses / Activos Gen. De Ing. (Promedio)</t>
  </si>
  <si>
    <t>Egresos Generales / Ingresos de Operaciones</t>
  </si>
  <si>
    <t>Otros Ingresos / Activos Gen. De Ing. (Promedio)</t>
  </si>
  <si>
    <t>Productividad</t>
  </si>
  <si>
    <t>Número de Empleados</t>
  </si>
  <si>
    <t>Sucursales</t>
  </si>
  <si>
    <t>Préstamos / Empleados</t>
  </si>
  <si>
    <t>Depósitos Totales / Empleados</t>
  </si>
  <si>
    <t>Utilidad Neta / Empleados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</si>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</sst>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68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B/.&quot;\ #,##0;&quot;B/.&quot;\ \-#,##0"/>
    <numFmt numFmtId="187" formatCode="&quot;B/.&quot;\ #,##0;[Red]&quot;B/.&quot;\ \-#,##0"/>
    <numFmt numFmtId="188" formatCode="&quot;B/.&quot;\ #,##0.00;&quot;B/.&quot;\ \-#,##0.00"/>
    <numFmt numFmtId="189" formatCode="&quot;B/.&quot;\ #,##0.00;[Red]&quot;B/.&quot;\ \-#,##0.00"/>
    <numFmt numFmtId="190" formatCode="_ &quot;B/.&quot;\ * #,##0_ ;_ &quot;B/.&quot;\ * \-#,##0_ ;_ &quot;B/.&quot;\ * &quot;-&quot;_ ;_ @_ "/>
    <numFmt numFmtId="191" formatCode="_ * #,##0_ ;_ * \-#,##0_ ;_ * &quot;-&quot;_ ;_ @_ "/>
    <numFmt numFmtId="192" formatCode="_ &quot;B/.&quot;\ * #,##0.00_ ;_ &quot;B/.&quot;\ * \-#,##0.00_ ;_ &quot;B/.&quot;\ * &quot;-&quot;??_ ;_ @_ "/>
    <numFmt numFmtId="193" formatCode="_ * #,##0.00_ ;_ * \-#,##0.00_ ;_ * &quot;-&quot;??_ ;_ @_ "/>
    <numFmt numFmtId="194" formatCode="_(* #,##0.0_);_(* \(#,##0.0\);_(* &quot;-&quot;??_);_(@_)"/>
    <numFmt numFmtId="195" formatCode="_(* #,##0_);_(* \(#,##0\);_(* &quot;-&quot;??_);_(@_)"/>
    <numFmt numFmtId="196" formatCode="_(* #,##0.000_);_(* \(#,##0.000\);_(* &quot;-&quot;??_);_(@_)"/>
    <numFmt numFmtId="197" formatCode="0.0%"/>
    <numFmt numFmtId="198" formatCode="0.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000000000"/>
    <numFmt numFmtId="205" formatCode="0.00000000000"/>
    <numFmt numFmtId="206" formatCode="0.000000000"/>
    <numFmt numFmtId="207" formatCode="0.0"/>
    <numFmt numFmtId="208" formatCode="_ * #,##0.0_ ;_ * \-#,##0.0_ ;_ * &quot;-&quot;??_ ;_ @_ "/>
    <numFmt numFmtId="209" formatCode="_ * #,##0_ ;_ * \-#,##0_ ;_ * &quot;-&quot;??_ ;_ @_ "/>
    <numFmt numFmtId="210" formatCode="0.000%"/>
    <numFmt numFmtId="211" formatCode="0.0000%"/>
    <numFmt numFmtId="212" formatCode="0.00000%"/>
    <numFmt numFmtId="213" formatCode="0.000000%"/>
    <numFmt numFmtId="214" formatCode="_(* #,##0.0000_);_(* \(#,##0.0000\);_(* &quot;-&quot;??_);_(@_)"/>
    <numFmt numFmtId="215" formatCode="_ * #,##0.0_ ;_ * \-#,##0.0_ ;_ * &quot;-&quot;?_ ;_ @_ "/>
    <numFmt numFmtId="216" formatCode="#,##0_ ;\-#,##0\ "/>
    <numFmt numFmtId="217" formatCode="#,##0.00000_ ;\-#,##0.00000\ "/>
    <numFmt numFmtId="218" formatCode="#,##0.0000_ ;\-#,##0.0000\ "/>
    <numFmt numFmtId="219" formatCode="#,##0.000_ ;\-#,##0.000\ "/>
    <numFmt numFmtId="220" formatCode="#,##0.00_ ;\-#,##0.00\ "/>
    <numFmt numFmtId="221" formatCode="#,##0.0_ ;\-#,##0.0\ "/>
    <numFmt numFmtId="222" formatCode="_-* #,##0.0\ _€_-;\-* #,##0.0\ _€_-;_-* &quot;-&quot;??\ _€_-;_-@_-"/>
    <numFmt numFmtId="223" formatCode="_-* #,##0\ _€_-;\-* #,##0\ _€_-;_-* &quot;-&quot;??\ _€_-;_-@_-"/>
  </numFmts>
  <fonts count="38">
    <font>
      <sz val="10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8">
    <xf numFmtId="0" fontId="0" fillId="0" borderId="0" xfId="0" applyAlignment="1">
      <alignment/>
    </xf>
    <xf numFmtId="195" fontId="1" fillId="0" borderId="0" xfId="46" applyNumberFormat="1" applyFont="1" applyAlignment="1">
      <alignment/>
    </xf>
    <xf numFmtId="195" fontId="3" fillId="0" borderId="0" xfId="46" applyNumberFormat="1" applyFont="1" applyAlignment="1">
      <alignment/>
    </xf>
    <xf numFmtId="195" fontId="3" fillId="0" borderId="10" xfId="46" applyNumberFormat="1" applyFont="1" applyBorder="1" applyAlignment="1">
      <alignment/>
    </xf>
    <xf numFmtId="195" fontId="3" fillId="0" borderId="0" xfId="46" applyNumberFormat="1" applyFont="1" applyBorder="1" applyAlignment="1">
      <alignment/>
    </xf>
    <xf numFmtId="49" fontId="3" fillId="0" borderId="11" xfId="46" applyNumberFormat="1" applyFont="1" applyBorder="1" applyAlignment="1">
      <alignment/>
    </xf>
    <xf numFmtId="49" fontId="3" fillId="0" borderId="0" xfId="46" applyNumberFormat="1" applyFont="1" applyAlignment="1">
      <alignment/>
    </xf>
    <xf numFmtId="195" fontId="3" fillId="0" borderId="10" xfId="46" applyNumberFormat="1" applyFont="1" applyBorder="1" applyAlignment="1">
      <alignment horizontal="center"/>
    </xf>
    <xf numFmtId="195" fontId="3" fillId="0" borderId="12" xfId="46" applyNumberFormat="1" applyFont="1" applyBorder="1" applyAlignment="1">
      <alignment horizontal="center"/>
    </xf>
    <xf numFmtId="195" fontId="3" fillId="0" borderId="13" xfId="46" applyNumberFormat="1" applyFont="1" applyBorder="1" applyAlignment="1">
      <alignment horizontal="center"/>
    </xf>
    <xf numFmtId="195" fontId="3" fillId="0" borderId="14" xfId="46" applyNumberFormat="1" applyFont="1" applyBorder="1" applyAlignment="1">
      <alignment horizontal="center"/>
    </xf>
    <xf numFmtId="195" fontId="3" fillId="0" borderId="10" xfId="46" applyNumberFormat="1" applyFont="1" applyBorder="1" applyAlignment="1">
      <alignment horizontal="right"/>
    </xf>
    <xf numFmtId="195" fontId="3" fillId="0" borderId="15" xfId="46" applyNumberFormat="1" applyFont="1" applyBorder="1" applyAlignment="1">
      <alignment horizontal="right"/>
    </xf>
    <xf numFmtId="195" fontId="2" fillId="0" borderId="0" xfId="46" applyNumberFormat="1" applyFont="1" applyAlignment="1">
      <alignment/>
    </xf>
    <xf numFmtId="195" fontId="2" fillId="0" borderId="0" xfId="46" applyNumberFormat="1" applyFont="1" applyBorder="1" applyAlignment="1">
      <alignment/>
    </xf>
    <xf numFmtId="195" fontId="2" fillId="0" borderId="16" xfId="46" applyNumberFormat="1" applyFont="1" applyBorder="1" applyAlignment="1">
      <alignment/>
    </xf>
    <xf numFmtId="195" fontId="2" fillId="0" borderId="17" xfId="46" applyNumberFormat="1" applyFont="1" applyBorder="1" applyAlignment="1">
      <alignment/>
    </xf>
    <xf numFmtId="195" fontId="3" fillId="0" borderId="16" xfId="46" applyNumberFormat="1" applyFont="1" applyBorder="1" applyAlignment="1">
      <alignment/>
    </xf>
    <xf numFmtId="195" fontId="3" fillId="0" borderId="17" xfId="46" applyNumberFormat="1" applyFont="1" applyBorder="1" applyAlignment="1">
      <alignment/>
    </xf>
    <xf numFmtId="195" fontId="3" fillId="0" borderId="0" xfId="46" applyNumberFormat="1" applyFont="1" applyFill="1" applyBorder="1" applyAlignment="1">
      <alignment/>
    </xf>
    <xf numFmtId="195" fontId="3" fillId="0" borderId="0" xfId="46" applyNumberFormat="1" applyFont="1" applyFill="1" applyAlignment="1">
      <alignment/>
    </xf>
    <xf numFmtId="195" fontId="3" fillId="0" borderId="15" xfId="46" applyNumberFormat="1" applyFont="1" applyBorder="1" applyAlignment="1">
      <alignment/>
    </xf>
    <xf numFmtId="195" fontId="3" fillId="0" borderId="14" xfId="46" applyNumberFormat="1" applyFont="1" applyBorder="1" applyAlignment="1">
      <alignment/>
    </xf>
    <xf numFmtId="10" fontId="3" fillId="0" borderId="0" xfId="52" applyNumberFormat="1" applyFont="1" applyBorder="1" applyAlignment="1">
      <alignment/>
    </xf>
    <xf numFmtId="10" fontId="3" fillId="0" borderId="16" xfId="52" applyNumberFormat="1" applyFont="1" applyBorder="1" applyAlignment="1">
      <alignment/>
    </xf>
    <xf numFmtId="10" fontId="3" fillId="0" borderId="0" xfId="52" applyNumberFormat="1" applyFont="1" applyAlignment="1">
      <alignment/>
    </xf>
    <xf numFmtId="10" fontId="3" fillId="0" borderId="17" xfId="52" applyNumberFormat="1" applyFont="1" applyBorder="1" applyAlignment="1">
      <alignment/>
    </xf>
    <xf numFmtId="10" fontId="3" fillId="0" borderId="10" xfId="52" applyNumberFormat="1" applyFont="1" applyBorder="1" applyAlignment="1">
      <alignment/>
    </xf>
    <xf numFmtId="10" fontId="3" fillId="0" borderId="15" xfId="52" applyNumberFormat="1" applyFont="1" applyBorder="1" applyAlignment="1">
      <alignment/>
    </xf>
    <xf numFmtId="10" fontId="3" fillId="0" borderId="14" xfId="52" applyNumberFormat="1" applyFont="1" applyBorder="1" applyAlignment="1">
      <alignment/>
    </xf>
    <xf numFmtId="10" fontId="3" fillId="0" borderId="11" xfId="52" applyNumberFormat="1" applyFont="1" applyBorder="1" applyAlignment="1">
      <alignment/>
    </xf>
    <xf numFmtId="10" fontId="3" fillId="0" borderId="0" xfId="52" applyNumberFormat="1" applyFont="1" applyFill="1" applyBorder="1" applyAlignment="1">
      <alignment/>
    </xf>
    <xf numFmtId="195" fontId="3" fillId="0" borderId="0" xfId="46" applyNumberFormat="1" applyFont="1" applyAlignment="1">
      <alignment horizontal="center"/>
    </xf>
    <xf numFmtId="195" fontId="2" fillId="0" borderId="0" xfId="46" applyNumberFormat="1" applyFont="1" applyAlignment="1">
      <alignment horizontal="center"/>
    </xf>
    <xf numFmtId="49" fontId="2" fillId="0" borderId="18" xfId="46" applyNumberFormat="1" applyFont="1" applyBorder="1" applyAlignment="1">
      <alignment horizontal="center"/>
    </xf>
    <xf numFmtId="49" fontId="2" fillId="0" borderId="12" xfId="46" applyNumberFormat="1" applyFont="1" applyBorder="1" applyAlignment="1">
      <alignment horizontal="center"/>
    </xf>
    <xf numFmtId="49" fontId="2" fillId="0" borderId="11" xfId="46" applyNumberFormat="1" applyFont="1" applyBorder="1" applyAlignment="1">
      <alignment horizontal="center"/>
    </xf>
    <xf numFmtId="49" fontId="2" fillId="0" borderId="13" xfId="46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171450</xdr:colOff>
      <xdr:row>5</xdr:row>
      <xdr:rowOff>38100</xdr:rowOff>
    </xdr:to>
    <xdr:pic>
      <xdr:nvPicPr>
        <xdr:cNvPr id="1" name="Picture 1" descr="I:\IMAGES\logo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6" sqref="E6"/>
    </sheetView>
  </sheetViews>
  <sheetFormatPr defaultColWidth="11.421875" defaultRowHeight="12.75"/>
  <cols>
    <col min="1" max="1" width="3.57421875" style="1" customWidth="1"/>
    <col min="2" max="2" width="28.28125" style="1" customWidth="1"/>
    <col min="3" max="3" width="7.421875" style="1" bestFit="1" customWidth="1"/>
    <col min="4" max="4" width="8.7109375" style="1" bestFit="1" customWidth="1"/>
    <col min="5" max="7" width="7.421875" style="1" bestFit="1" customWidth="1"/>
    <col min="8" max="8" width="8.00390625" style="1" customWidth="1"/>
    <col min="9" max="11" width="7.421875" style="1" bestFit="1" customWidth="1"/>
    <col min="12" max="12" width="7.8515625" style="1" bestFit="1" customWidth="1"/>
    <col min="13" max="13" width="8.140625" style="1" bestFit="1" customWidth="1"/>
    <col min="14" max="14" width="6.57421875" style="1" customWidth="1"/>
    <col min="15" max="16" width="0.13671875" style="1" hidden="1" customWidth="1"/>
    <col min="17" max="16384" width="11.421875" style="1" customWidth="1"/>
  </cols>
  <sheetData>
    <row r="1" spans="2:16" s="2" customFormat="1" ht="11.25">
      <c r="B1" s="33"/>
      <c r="C1" s="33"/>
      <c r="D1" s="33"/>
      <c r="E1" s="33"/>
      <c r="F1" s="33"/>
      <c r="G1" s="33" t="s">
        <v>0</v>
      </c>
      <c r="H1" s="33"/>
      <c r="I1" s="33"/>
      <c r="J1" s="33"/>
      <c r="K1" s="33"/>
      <c r="L1" s="33"/>
      <c r="M1" s="33"/>
      <c r="N1" s="33"/>
      <c r="O1" s="33"/>
      <c r="P1" s="33"/>
    </row>
    <row r="2" spans="2:16" s="2" customFormat="1" ht="11.25">
      <c r="B2" s="33"/>
      <c r="C2" s="33"/>
      <c r="D2" s="33"/>
      <c r="E2" s="33"/>
      <c r="F2" s="33"/>
      <c r="G2" s="33" t="s">
        <v>1</v>
      </c>
      <c r="H2" s="33"/>
      <c r="I2" s="33"/>
      <c r="J2" s="33"/>
      <c r="K2" s="33"/>
      <c r="L2" s="33"/>
      <c r="M2" s="33"/>
      <c r="N2" s="33"/>
      <c r="O2" s="33"/>
      <c r="P2" s="33"/>
    </row>
    <row r="3" spans="2:16" s="2" customFormat="1" ht="11.25">
      <c r="B3" s="33"/>
      <c r="C3" s="33"/>
      <c r="D3" s="33"/>
      <c r="E3" s="33"/>
      <c r="F3" s="33"/>
      <c r="G3" s="33" t="s">
        <v>2</v>
      </c>
      <c r="H3" s="33"/>
      <c r="I3" s="33"/>
      <c r="J3" s="33"/>
      <c r="K3" s="33"/>
      <c r="L3" s="33"/>
      <c r="M3" s="33"/>
      <c r="N3" s="33"/>
      <c r="O3" s="33"/>
      <c r="P3" s="33"/>
    </row>
    <row r="4" spans="2:16" s="2" customFormat="1" ht="11.25">
      <c r="B4" s="32"/>
      <c r="C4" s="32"/>
      <c r="D4" s="32"/>
      <c r="E4" s="32"/>
      <c r="F4" s="32"/>
      <c r="G4" s="32" t="s">
        <v>3</v>
      </c>
      <c r="H4" s="32"/>
      <c r="I4" s="32"/>
      <c r="J4" s="32"/>
      <c r="K4" s="32"/>
      <c r="L4" s="32"/>
      <c r="M4" s="32"/>
      <c r="N4" s="32"/>
      <c r="O4" s="32"/>
      <c r="P4" s="32"/>
    </row>
    <row r="5" spans="1:16" s="2" customFormat="1" ht="11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s="2" customFormat="1" ht="11.25">
      <c r="A6" s="3"/>
      <c r="B6" s="3"/>
      <c r="C6" s="3"/>
      <c r="D6" s="3"/>
      <c r="E6" s="3"/>
      <c r="F6" s="3"/>
      <c r="G6" s="3"/>
      <c r="H6" s="3"/>
      <c r="I6" s="3"/>
      <c r="J6" s="3"/>
      <c r="K6" s="4"/>
      <c r="L6" s="4"/>
      <c r="M6" s="4"/>
      <c r="N6" s="4"/>
      <c r="O6" s="3"/>
      <c r="P6" s="3"/>
    </row>
    <row r="7" spans="1:16" s="6" customFormat="1" ht="11.25">
      <c r="A7" s="5"/>
      <c r="B7" s="5"/>
      <c r="C7" s="35">
        <v>2002</v>
      </c>
      <c r="D7" s="35"/>
      <c r="E7" s="35"/>
      <c r="F7" s="37"/>
      <c r="G7" s="35">
        <v>2001</v>
      </c>
      <c r="H7" s="35"/>
      <c r="I7" s="35"/>
      <c r="J7" s="35"/>
      <c r="K7" s="34">
        <v>2000</v>
      </c>
      <c r="L7" s="35"/>
      <c r="M7" s="35"/>
      <c r="N7" s="36"/>
      <c r="O7" s="35" t="s">
        <v>4</v>
      </c>
      <c r="P7" s="37"/>
    </row>
    <row r="8" spans="1:16" s="2" customFormat="1" ht="11.25">
      <c r="A8" s="7"/>
      <c r="B8" s="7"/>
      <c r="C8" s="7" t="s">
        <v>5</v>
      </c>
      <c r="D8" s="7" t="s">
        <v>6</v>
      </c>
      <c r="E8" s="8" t="s">
        <v>7</v>
      </c>
      <c r="F8" s="9" t="s">
        <v>8</v>
      </c>
      <c r="G8" s="7" t="s">
        <v>5</v>
      </c>
      <c r="H8" s="7" t="s">
        <v>6</v>
      </c>
      <c r="I8" s="7" t="s">
        <v>7</v>
      </c>
      <c r="J8" s="7" t="s">
        <v>8</v>
      </c>
      <c r="K8" s="10" t="s">
        <v>5</v>
      </c>
      <c r="L8" s="7" t="s">
        <v>6</v>
      </c>
      <c r="M8" s="7" t="s">
        <v>7</v>
      </c>
      <c r="N8" s="8" t="s">
        <v>8</v>
      </c>
      <c r="O8" s="11" t="s">
        <v>9</v>
      </c>
      <c r="P8" s="12" t="s">
        <v>10</v>
      </c>
    </row>
    <row r="9" spans="1:16" s="2" customFormat="1" ht="11.25">
      <c r="A9" s="13" t="s">
        <v>11</v>
      </c>
      <c r="B9" s="13"/>
      <c r="C9" s="13"/>
      <c r="D9" s="13"/>
      <c r="E9" s="14"/>
      <c r="F9" s="15"/>
      <c r="G9" s="13"/>
      <c r="H9" s="13"/>
      <c r="I9" s="13"/>
      <c r="J9" s="13"/>
      <c r="K9" s="16"/>
      <c r="L9" s="14"/>
      <c r="M9" s="14"/>
      <c r="N9" s="14"/>
      <c r="O9" s="14"/>
      <c r="P9" s="15"/>
    </row>
    <row r="10" spans="1:16" s="2" customFormat="1" ht="11.25">
      <c r="A10" s="2" t="s">
        <v>12</v>
      </c>
      <c r="C10" s="2">
        <v>65838</v>
      </c>
      <c r="D10" s="2">
        <v>68340</v>
      </c>
      <c r="E10" s="4">
        <v>70264</v>
      </c>
      <c r="F10" s="17">
        <v>79773</v>
      </c>
      <c r="G10" s="2">
        <v>85958</v>
      </c>
      <c r="H10" s="2">
        <v>82869</v>
      </c>
      <c r="I10" s="2">
        <v>84478</v>
      </c>
      <c r="J10" s="2">
        <v>88041</v>
      </c>
      <c r="K10" s="18">
        <v>92124</v>
      </c>
      <c r="L10" s="4">
        <v>98797</v>
      </c>
      <c r="M10" s="4">
        <v>105907</v>
      </c>
      <c r="N10" s="4">
        <v>92070</v>
      </c>
      <c r="O10" s="4">
        <v>100069</v>
      </c>
      <c r="P10" s="17">
        <v>90611</v>
      </c>
    </row>
    <row r="11" spans="1:16" s="2" customFormat="1" ht="11.25">
      <c r="A11" s="2" t="s">
        <v>13</v>
      </c>
      <c r="C11" s="2">
        <v>18216</v>
      </c>
      <c r="D11" s="2">
        <v>24953</v>
      </c>
      <c r="E11" s="4">
        <v>24026</v>
      </c>
      <c r="F11" s="17">
        <v>28432</v>
      </c>
      <c r="G11" s="2">
        <v>34913</v>
      </c>
      <c r="H11" s="2">
        <v>30427</v>
      </c>
      <c r="I11" s="2">
        <v>30633</v>
      </c>
      <c r="J11" s="2">
        <v>35628</v>
      </c>
      <c r="K11" s="18">
        <v>37471</v>
      </c>
      <c r="L11" s="4">
        <v>45717</v>
      </c>
      <c r="M11" s="4">
        <v>45600</v>
      </c>
      <c r="N11" s="4">
        <v>29788</v>
      </c>
      <c r="O11" s="4">
        <v>37693</v>
      </c>
      <c r="P11" s="17">
        <v>27906</v>
      </c>
    </row>
    <row r="12" spans="1:16" s="2" customFormat="1" ht="11.25">
      <c r="A12" s="2" t="s">
        <v>14</v>
      </c>
      <c r="C12" s="4">
        <f aca="true" t="shared" si="0" ref="C12:P12">C13+C14</f>
        <v>39151</v>
      </c>
      <c r="D12" s="4">
        <f t="shared" si="0"/>
        <v>34802</v>
      </c>
      <c r="E12" s="4">
        <f t="shared" si="0"/>
        <v>36688</v>
      </c>
      <c r="F12" s="17">
        <f t="shared" si="0"/>
        <v>40798</v>
      </c>
      <c r="G12" s="2">
        <f t="shared" si="0"/>
        <v>40441</v>
      </c>
      <c r="H12" s="2">
        <f t="shared" si="0"/>
        <v>40957</v>
      </c>
      <c r="I12" s="2">
        <f t="shared" si="0"/>
        <v>41853</v>
      </c>
      <c r="J12" s="2">
        <f t="shared" si="0"/>
        <v>41842</v>
      </c>
      <c r="K12" s="18">
        <f t="shared" si="0"/>
        <v>40022</v>
      </c>
      <c r="L12" s="4">
        <f t="shared" si="0"/>
        <v>38423</v>
      </c>
      <c r="M12" s="4">
        <f t="shared" si="0"/>
        <v>46748</v>
      </c>
      <c r="N12" s="4">
        <f t="shared" si="0"/>
        <v>49669</v>
      </c>
      <c r="O12" s="4">
        <f t="shared" si="0"/>
        <v>50187</v>
      </c>
      <c r="P12" s="17">
        <f t="shared" si="0"/>
        <v>58606</v>
      </c>
    </row>
    <row r="13" spans="2:16" s="2" customFormat="1" ht="11.25">
      <c r="B13" s="2" t="s">
        <v>15</v>
      </c>
      <c r="C13" s="2">
        <v>33496</v>
      </c>
      <c r="D13" s="2">
        <v>29331</v>
      </c>
      <c r="E13" s="4">
        <v>31155</v>
      </c>
      <c r="F13" s="17">
        <v>34997</v>
      </c>
      <c r="G13" s="2">
        <v>34575</v>
      </c>
      <c r="H13" s="2">
        <v>35420</v>
      </c>
      <c r="I13" s="2">
        <v>36319</v>
      </c>
      <c r="J13" s="2">
        <v>36124</v>
      </c>
      <c r="K13" s="18">
        <v>34196</v>
      </c>
      <c r="L13" s="4">
        <v>30937</v>
      </c>
      <c r="M13" s="4">
        <v>37187</v>
      </c>
      <c r="N13" s="4">
        <v>39147</v>
      </c>
      <c r="O13" s="4">
        <v>39665</v>
      </c>
      <c r="P13" s="17">
        <v>46381</v>
      </c>
    </row>
    <row r="14" spans="2:16" s="2" customFormat="1" ht="11.25">
      <c r="B14" s="2" t="s">
        <v>16</v>
      </c>
      <c r="C14" s="2">
        <v>5655</v>
      </c>
      <c r="D14" s="2">
        <v>5471</v>
      </c>
      <c r="E14" s="4">
        <v>5533</v>
      </c>
      <c r="F14" s="17">
        <v>5801</v>
      </c>
      <c r="G14" s="2">
        <v>5866</v>
      </c>
      <c r="H14" s="2">
        <v>5537</v>
      </c>
      <c r="I14" s="2">
        <v>5534</v>
      </c>
      <c r="J14" s="2">
        <v>5718</v>
      </c>
      <c r="K14" s="18">
        <v>5826</v>
      </c>
      <c r="L14" s="4">
        <v>7486</v>
      </c>
      <c r="M14" s="4">
        <v>9561</v>
      </c>
      <c r="N14" s="4">
        <v>10522</v>
      </c>
      <c r="O14" s="4">
        <v>10522</v>
      </c>
      <c r="P14" s="17">
        <v>12225</v>
      </c>
    </row>
    <row r="15" spans="1:16" s="2" customFormat="1" ht="11.25">
      <c r="A15" s="2" t="s">
        <v>17</v>
      </c>
      <c r="C15" s="2">
        <v>2158</v>
      </c>
      <c r="D15" s="2">
        <v>2094</v>
      </c>
      <c r="E15" s="4">
        <v>2437</v>
      </c>
      <c r="F15" s="17">
        <v>2437</v>
      </c>
      <c r="G15" s="2">
        <v>2415</v>
      </c>
      <c r="H15" s="2">
        <v>2415</v>
      </c>
      <c r="I15" s="2">
        <v>3415</v>
      </c>
      <c r="J15" s="2">
        <v>2415</v>
      </c>
      <c r="K15" s="18">
        <v>2415</v>
      </c>
      <c r="L15" s="4">
        <v>2415</v>
      </c>
      <c r="M15" s="4">
        <v>2454</v>
      </c>
      <c r="N15" s="4">
        <v>2458</v>
      </c>
      <c r="O15" s="4">
        <v>2458</v>
      </c>
      <c r="P15" s="17">
        <v>1649</v>
      </c>
    </row>
    <row r="16" spans="1:16" s="2" customFormat="1" ht="11.25">
      <c r="A16" s="2" t="s">
        <v>18</v>
      </c>
      <c r="C16" s="4">
        <f aca="true" t="shared" si="1" ref="C16:P16">C17+C21</f>
        <v>52325</v>
      </c>
      <c r="D16" s="4">
        <f t="shared" si="1"/>
        <v>54544</v>
      </c>
      <c r="E16" s="4">
        <f t="shared" si="1"/>
        <v>56190</v>
      </c>
      <c r="F16" s="17">
        <f t="shared" si="1"/>
        <v>65775</v>
      </c>
      <c r="G16" s="2">
        <f t="shared" si="1"/>
        <v>71652</v>
      </c>
      <c r="H16" s="2">
        <f t="shared" si="1"/>
        <v>67588</v>
      </c>
      <c r="I16" s="2">
        <f t="shared" si="1"/>
        <v>69716</v>
      </c>
      <c r="J16" s="2">
        <f t="shared" si="1"/>
        <v>73838</v>
      </c>
      <c r="K16" s="18">
        <f t="shared" si="1"/>
        <v>78202</v>
      </c>
      <c r="L16" s="4">
        <f t="shared" si="1"/>
        <v>84675</v>
      </c>
      <c r="M16" s="4">
        <f t="shared" si="1"/>
        <v>89154</v>
      </c>
      <c r="N16" s="4">
        <f t="shared" si="1"/>
        <v>76402</v>
      </c>
      <c r="O16" s="4">
        <f t="shared" si="1"/>
        <v>85780</v>
      </c>
      <c r="P16" s="17">
        <f t="shared" si="1"/>
        <v>77852</v>
      </c>
    </row>
    <row r="17" spans="2:16" s="2" customFormat="1" ht="11.25">
      <c r="B17" s="2" t="s">
        <v>15</v>
      </c>
      <c r="C17" s="4">
        <f aca="true" t="shared" si="2" ref="C17:P17">SUM(C18:C20)</f>
        <v>46476</v>
      </c>
      <c r="D17" s="4">
        <f t="shared" si="2"/>
        <v>48660</v>
      </c>
      <c r="E17" s="4">
        <f t="shared" si="2"/>
        <v>49155</v>
      </c>
      <c r="F17" s="17">
        <f t="shared" si="2"/>
        <v>54362</v>
      </c>
      <c r="G17" s="2">
        <f t="shared" si="2"/>
        <v>59211</v>
      </c>
      <c r="H17" s="2">
        <f t="shared" si="2"/>
        <v>56143</v>
      </c>
      <c r="I17" s="2">
        <f t="shared" si="2"/>
        <v>56330</v>
      </c>
      <c r="J17" s="2">
        <f t="shared" si="2"/>
        <v>57892</v>
      </c>
      <c r="K17" s="18">
        <f t="shared" si="2"/>
        <v>56191</v>
      </c>
      <c r="L17" s="4">
        <f t="shared" si="2"/>
        <v>52542</v>
      </c>
      <c r="M17" s="4">
        <f t="shared" si="2"/>
        <v>58685</v>
      </c>
      <c r="N17" s="4">
        <f t="shared" si="2"/>
        <v>56224</v>
      </c>
      <c r="O17" s="4">
        <f t="shared" si="2"/>
        <v>60953</v>
      </c>
      <c r="P17" s="17">
        <f t="shared" si="2"/>
        <v>51939</v>
      </c>
    </row>
    <row r="18" spans="2:16" s="2" customFormat="1" ht="11.25">
      <c r="B18" s="2" t="s">
        <v>19</v>
      </c>
      <c r="C18" s="2">
        <v>0</v>
      </c>
      <c r="D18" s="2">
        <v>0</v>
      </c>
      <c r="E18" s="4">
        <v>0</v>
      </c>
      <c r="F18" s="17">
        <v>0</v>
      </c>
      <c r="G18" s="2">
        <v>0</v>
      </c>
      <c r="H18" s="2">
        <v>0</v>
      </c>
      <c r="I18" s="2">
        <v>0</v>
      </c>
      <c r="J18" s="2">
        <v>0</v>
      </c>
      <c r="K18" s="18">
        <v>0</v>
      </c>
      <c r="L18" s="4">
        <v>0</v>
      </c>
      <c r="M18" s="4">
        <v>0</v>
      </c>
      <c r="N18" s="4">
        <v>0</v>
      </c>
      <c r="O18" s="4">
        <v>0</v>
      </c>
      <c r="P18" s="17">
        <v>0</v>
      </c>
    </row>
    <row r="19" spans="2:16" s="2" customFormat="1" ht="11.25">
      <c r="B19" s="2" t="s">
        <v>20</v>
      </c>
      <c r="C19" s="2">
        <v>32353</v>
      </c>
      <c r="D19" s="2">
        <v>36443</v>
      </c>
      <c r="E19" s="4">
        <v>36942</v>
      </c>
      <c r="F19" s="17">
        <v>40151</v>
      </c>
      <c r="G19" s="2">
        <v>42995</v>
      </c>
      <c r="H19" s="2">
        <v>44459</v>
      </c>
      <c r="I19" s="2">
        <v>42358</v>
      </c>
      <c r="J19" s="2">
        <v>42961</v>
      </c>
      <c r="K19" s="18">
        <v>39356</v>
      </c>
      <c r="L19" s="4">
        <v>36987</v>
      </c>
      <c r="M19" s="4">
        <v>42005</v>
      </c>
      <c r="N19" s="4">
        <v>46112</v>
      </c>
      <c r="O19" s="4">
        <v>46972</v>
      </c>
      <c r="P19" s="17">
        <v>44867</v>
      </c>
    </row>
    <row r="20" spans="2:16" s="2" customFormat="1" ht="11.25">
      <c r="B20" s="2" t="s">
        <v>21</v>
      </c>
      <c r="C20" s="2">
        <v>14123</v>
      </c>
      <c r="D20" s="2">
        <v>12217</v>
      </c>
      <c r="E20" s="19">
        <v>12213</v>
      </c>
      <c r="F20" s="17">
        <v>14211</v>
      </c>
      <c r="G20" s="2">
        <v>16216</v>
      </c>
      <c r="H20" s="2">
        <v>11684</v>
      </c>
      <c r="I20" s="2">
        <v>13972</v>
      </c>
      <c r="J20" s="2">
        <v>14931</v>
      </c>
      <c r="K20" s="18">
        <v>16835</v>
      </c>
      <c r="L20" s="4">
        <v>15555</v>
      </c>
      <c r="M20" s="4">
        <v>16680</v>
      </c>
      <c r="N20" s="4">
        <v>10112</v>
      </c>
      <c r="O20" s="4">
        <v>13981</v>
      </c>
      <c r="P20" s="17">
        <v>7072</v>
      </c>
    </row>
    <row r="21" spans="2:16" s="2" customFormat="1" ht="11.25">
      <c r="B21" s="2" t="s">
        <v>16</v>
      </c>
      <c r="C21" s="2">
        <f>SUM(C22:C24)</f>
        <v>5849</v>
      </c>
      <c r="D21" s="4">
        <f aca="true" t="shared" si="3" ref="D21:P21">SUM(D23:D24)</f>
        <v>5884</v>
      </c>
      <c r="E21" s="19">
        <f t="shared" si="3"/>
        <v>7035</v>
      </c>
      <c r="F21" s="17">
        <f t="shared" si="3"/>
        <v>11413</v>
      </c>
      <c r="G21" s="2">
        <f t="shared" si="3"/>
        <v>12441</v>
      </c>
      <c r="H21" s="2">
        <f t="shared" si="3"/>
        <v>11445</v>
      </c>
      <c r="I21" s="2">
        <f t="shared" si="3"/>
        <v>13386</v>
      </c>
      <c r="J21" s="2">
        <f t="shared" si="3"/>
        <v>15946</v>
      </c>
      <c r="K21" s="18">
        <f t="shared" si="3"/>
        <v>22011</v>
      </c>
      <c r="L21" s="4">
        <f t="shared" si="3"/>
        <v>32133</v>
      </c>
      <c r="M21" s="4">
        <f t="shared" si="3"/>
        <v>30469</v>
      </c>
      <c r="N21" s="4">
        <f t="shared" si="3"/>
        <v>20178</v>
      </c>
      <c r="O21" s="4">
        <f t="shared" si="3"/>
        <v>24827</v>
      </c>
      <c r="P21" s="17">
        <f t="shared" si="3"/>
        <v>25913</v>
      </c>
    </row>
    <row r="22" spans="2:16" s="2" customFormat="1" ht="11.25">
      <c r="B22" s="2" t="s">
        <v>19</v>
      </c>
      <c r="C22" s="2">
        <v>0</v>
      </c>
      <c r="D22" s="4">
        <v>0</v>
      </c>
      <c r="E22" s="19">
        <v>0</v>
      </c>
      <c r="F22" s="17">
        <v>0</v>
      </c>
      <c r="G22" s="2">
        <v>0</v>
      </c>
      <c r="H22" s="2">
        <v>0</v>
      </c>
      <c r="I22" s="2">
        <v>0</v>
      </c>
      <c r="J22" s="2">
        <v>0</v>
      </c>
      <c r="K22" s="18">
        <v>0</v>
      </c>
      <c r="L22" s="4">
        <v>0</v>
      </c>
      <c r="M22" s="4">
        <v>0</v>
      </c>
      <c r="N22" s="4">
        <v>0</v>
      </c>
      <c r="O22" s="4"/>
      <c r="P22" s="17"/>
    </row>
    <row r="23" spans="2:16" s="2" customFormat="1" ht="11.25">
      <c r="B23" s="2" t="s">
        <v>20</v>
      </c>
      <c r="C23" s="2">
        <v>5701</v>
      </c>
      <c r="D23" s="2">
        <v>5584</v>
      </c>
      <c r="E23" s="19">
        <v>6799</v>
      </c>
      <c r="F23" s="17">
        <v>11198</v>
      </c>
      <c r="G23" s="2">
        <v>11670</v>
      </c>
      <c r="H23" s="2">
        <v>10889</v>
      </c>
      <c r="I23" s="2">
        <v>11125</v>
      </c>
      <c r="J23" s="2">
        <v>11402</v>
      </c>
      <c r="K23" s="18">
        <v>12306</v>
      </c>
      <c r="L23" s="4">
        <v>30350</v>
      </c>
      <c r="M23" s="4">
        <v>11933</v>
      </c>
      <c r="N23" s="4">
        <v>16147</v>
      </c>
      <c r="O23" s="4">
        <v>17985</v>
      </c>
      <c r="P23" s="17">
        <v>17228</v>
      </c>
    </row>
    <row r="24" spans="2:16" s="2" customFormat="1" ht="11.25">
      <c r="B24" s="2" t="s">
        <v>21</v>
      </c>
      <c r="C24" s="2">
        <v>148</v>
      </c>
      <c r="D24" s="20">
        <v>300</v>
      </c>
      <c r="E24" s="19">
        <v>236</v>
      </c>
      <c r="F24" s="17">
        <v>215</v>
      </c>
      <c r="G24" s="2">
        <v>771</v>
      </c>
      <c r="H24" s="2">
        <v>556</v>
      </c>
      <c r="I24" s="2">
        <v>2261</v>
      </c>
      <c r="J24" s="2">
        <v>4544</v>
      </c>
      <c r="K24" s="18">
        <v>9705</v>
      </c>
      <c r="L24" s="4">
        <v>1783</v>
      </c>
      <c r="M24" s="4">
        <v>18536</v>
      </c>
      <c r="N24" s="4">
        <v>4031</v>
      </c>
      <c r="O24" s="4">
        <v>6842</v>
      </c>
      <c r="P24" s="17">
        <v>8685</v>
      </c>
    </row>
    <row r="25" spans="1:16" s="2" customFormat="1" ht="11.25">
      <c r="A25" s="3" t="s">
        <v>22</v>
      </c>
      <c r="B25" s="3"/>
      <c r="C25" s="3">
        <v>11227</v>
      </c>
      <c r="D25" s="3">
        <v>11382</v>
      </c>
      <c r="E25" s="3">
        <v>11647</v>
      </c>
      <c r="F25" s="21">
        <v>11645</v>
      </c>
      <c r="G25" s="3">
        <v>11521</v>
      </c>
      <c r="H25" s="3">
        <v>11643</v>
      </c>
      <c r="I25" s="3">
        <v>11397</v>
      </c>
      <c r="J25" s="3">
        <v>10860</v>
      </c>
      <c r="K25" s="22">
        <v>10671</v>
      </c>
      <c r="L25" s="3">
        <v>11371</v>
      </c>
      <c r="M25" s="3">
        <v>11204</v>
      </c>
      <c r="N25" s="3">
        <v>11429</v>
      </c>
      <c r="O25" s="3">
        <v>11187</v>
      </c>
      <c r="P25" s="21">
        <v>10046</v>
      </c>
    </row>
    <row r="26" spans="1:16" s="2" customFormat="1" ht="11.25">
      <c r="A26" s="13" t="s">
        <v>23</v>
      </c>
      <c r="E26" s="4"/>
      <c r="F26" s="17"/>
      <c r="K26" s="18"/>
      <c r="L26" s="4"/>
      <c r="M26" s="4"/>
      <c r="N26" s="4"/>
      <c r="O26" s="4"/>
      <c r="P26" s="17"/>
    </row>
    <row r="27" spans="1:16" s="2" customFormat="1" ht="11.25">
      <c r="A27" s="2" t="s">
        <v>12</v>
      </c>
      <c r="C27" s="4">
        <f aca="true" t="shared" si="4" ref="C27:I27">(C10+G10)/2</f>
        <v>75898</v>
      </c>
      <c r="D27" s="4">
        <f t="shared" si="4"/>
        <v>75604.5</v>
      </c>
      <c r="E27" s="4">
        <f t="shared" si="4"/>
        <v>77371</v>
      </c>
      <c r="F27" s="17">
        <f t="shared" si="4"/>
        <v>83907</v>
      </c>
      <c r="G27" s="2">
        <f t="shared" si="4"/>
        <v>89041</v>
      </c>
      <c r="H27" s="2">
        <f t="shared" si="4"/>
        <v>90833</v>
      </c>
      <c r="I27" s="2">
        <f t="shared" si="4"/>
        <v>95192.5</v>
      </c>
      <c r="J27" s="2">
        <f>+(J10+N10)/2</f>
        <v>90055.5</v>
      </c>
      <c r="K27" s="18">
        <f>+(K10+O10)/2</f>
        <v>96096.5</v>
      </c>
      <c r="L27" s="4">
        <v>96340</v>
      </c>
      <c r="M27" s="4">
        <v>103164</v>
      </c>
      <c r="N27" s="4">
        <v>90587</v>
      </c>
      <c r="O27" s="4">
        <f>(O10+P10)/2</f>
        <v>95340</v>
      </c>
      <c r="P27" s="17">
        <v>84168</v>
      </c>
    </row>
    <row r="28" spans="1:16" s="2" customFormat="1" ht="11.25">
      <c r="A28" s="2" t="s">
        <v>24</v>
      </c>
      <c r="C28" s="4">
        <f aca="true" t="shared" si="5" ref="C28:P28">C29+C30</f>
        <v>42082.5</v>
      </c>
      <c r="D28" s="4">
        <f t="shared" si="5"/>
        <v>40134</v>
      </c>
      <c r="E28" s="4">
        <f t="shared" si="5"/>
        <v>42196.5</v>
      </c>
      <c r="F28" s="17">
        <f t="shared" si="5"/>
        <v>43746</v>
      </c>
      <c r="G28" s="2">
        <f t="shared" si="5"/>
        <v>42646.5</v>
      </c>
      <c r="H28" s="2">
        <f t="shared" si="5"/>
        <v>42105</v>
      </c>
      <c r="I28" s="2">
        <f t="shared" si="5"/>
        <v>47235</v>
      </c>
      <c r="J28" s="2">
        <f t="shared" si="5"/>
        <v>48192</v>
      </c>
      <c r="K28" s="18">
        <f t="shared" si="5"/>
        <v>47541</v>
      </c>
      <c r="L28" s="4">
        <f t="shared" si="5"/>
        <v>51146</v>
      </c>
      <c r="M28" s="4">
        <f t="shared" si="5"/>
        <v>57616</v>
      </c>
      <c r="N28" s="4">
        <f t="shared" si="5"/>
        <v>55776</v>
      </c>
      <c r="O28" s="4">
        <f t="shared" si="5"/>
        <v>56450</v>
      </c>
      <c r="P28" s="17">
        <f t="shared" si="5"/>
        <v>54673</v>
      </c>
    </row>
    <row r="29" spans="2:16" s="2" customFormat="1" ht="11.25">
      <c r="B29" s="2" t="s">
        <v>14</v>
      </c>
      <c r="C29" s="4">
        <f aca="true" t="shared" si="6" ref="C29:I29">(C12+G12)/2</f>
        <v>39796</v>
      </c>
      <c r="D29" s="4">
        <f t="shared" si="6"/>
        <v>37879.5</v>
      </c>
      <c r="E29" s="4">
        <f t="shared" si="6"/>
        <v>39270.5</v>
      </c>
      <c r="F29" s="17">
        <f t="shared" si="6"/>
        <v>41320</v>
      </c>
      <c r="G29" s="2">
        <f t="shared" si="6"/>
        <v>40231.5</v>
      </c>
      <c r="H29" s="2">
        <f t="shared" si="6"/>
        <v>39690</v>
      </c>
      <c r="I29" s="2">
        <f t="shared" si="6"/>
        <v>44300.5</v>
      </c>
      <c r="J29" s="2">
        <f>+(J12+N12)/2</f>
        <v>45755.5</v>
      </c>
      <c r="K29" s="18">
        <f>+(K12+O12)/2</f>
        <v>45104.5</v>
      </c>
      <c r="L29" s="4">
        <v>48765</v>
      </c>
      <c r="M29" s="4">
        <v>55140</v>
      </c>
      <c r="N29" s="4">
        <v>53283</v>
      </c>
      <c r="O29" s="4">
        <f>(O12+P12)/2</f>
        <v>54396.5</v>
      </c>
      <c r="P29" s="17">
        <v>53763</v>
      </c>
    </row>
    <row r="30" spans="2:16" s="2" customFormat="1" ht="11.25">
      <c r="B30" s="2" t="s">
        <v>17</v>
      </c>
      <c r="C30" s="4">
        <f aca="true" t="shared" si="7" ref="C30:I30">(C15+G15)/2</f>
        <v>2286.5</v>
      </c>
      <c r="D30" s="4">
        <f t="shared" si="7"/>
        <v>2254.5</v>
      </c>
      <c r="E30" s="4">
        <f t="shared" si="7"/>
        <v>2926</v>
      </c>
      <c r="F30" s="17">
        <f t="shared" si="7"/>
        <v>2426</v>
      </c>
      <c r="G30" s="2">
        <f t="shared" si="7"/>
        <v>2415</v>
      </c>
      <c r="H30" s="2">
        <f t="shared" si="7"/>
        <v>2415</v>
      </c>
      <c r="I30" s="2">
        <f t="shared" si="7"/>
        <v>2934.5</v>
      </c>
      <c r="J30" s="2">
        <f>+(J15+N15)/2</f>
        <v>2436.5</v>
      </c>
      <c r="K30" s="18">
        <f>+(K15+O15)/2</f>
        <v>2436.5</v>
      </c>
      <c r="L30" s="4">
        <v>2381</v>
      </c>
      <c r="M30" s="4">
        <v>2476</v>
      </c>
      <c r="N30" s="4">
        <v>2493</v>
      </c>
      <c r="O30" s="4">
        <f>(O15+P15)/2</f>
        <v>2053.5</v>
      </c>
      <c r="P30" s="17">
        <v>910</v>
      </c>
    </row>
    <row r="31" spans="1:16" s="2" customFormat="1" ht="11.25">
      <c r="A31" s="3" t="s">
        <v>22</v>
      </c>
      <c r="B31" s="3"/>
      <c r="C31" s="3">
        <f aca="true" t="shared" si="8" ref="C31:I31">(C25+G25)/2</f>
        <v>11374</v>
      </c>
      <c r="D31" s="3">
        <f t="shared" si="8"/>
        <v>11512.5</v>
      </c>
      <c r="E31" s="3">
        <f t="shared" si="8"/>
        <v>11522</v>
      </c>
      <c r="F31" s="21">
        <f t="shared" si="8"/>
        <v>11252.5</v>
      </c>
      <c r="G31" s="3">
        <f t="shared" si="8"/>
        <v>11096</v>
      </c>
      <c r="H31" s="3">
        <f t="shared" si="8"/>
        <v>11507</v>
      </c>
      <c r="I31" s="3">
        <f t="shared" si="8"/>
        <v>11300.5</v>
      </c>
      <c r="J31" s="3">
        <f>+(J25+N25)/2</f>
        <v>11144.5</v>
      </c>
      <c r="K31" s="22">
        <f>+(K25+O25)/2</f>
        <v>10929</v>
      </c>
      <c r="L31" s="3">
        <v>11180</v>
      </c>
      <c r="M31" s="3">
        <v>10948</v>
      </c>
      <c r="N31" s="3">
        <v>10893</v>
      </c>
      <c r="O31" s="3">
        <f>(O25+P25)/2</f>
        <v>10616.5</v>
      </c>
      <c r="P31" s="21">
        <v>7959</v>
      </c>
    </row>
    <row r="32" spans="1:16" s="2" customFormat="1" ht="11.25">
      <c r="A32" s="13" t="s">
        <v>25</v>
      </c>
      <c r="E32" s="4"/>
      <c r="F32" s="17"/>
      <c r="K32" s="18"/>
      <c r="L32" s="4"/>
      <c r="M32" s="4"/>
      <c r="N32" s="4"/>
      <c r="O32" s="4"/>
      <c r="P32" s="17"/>
    </row>
    <row r="33" spans="1:16" s="2" customFormat="1" ht="11.25">
      <c r="A33" s="2" t="s">
        <v>26</v>
      </c>
      <c r="C33" s="2">
        <v>5835</v>
      </c>
      <c r="D33" s="2">
        <v>4525</v>
      </c>
      <c r="E33" s="4">
        <v>3103</v>
      </c>
      <c r="F33" s="17">
        <v>1616</v>
      </c>
      <c r="G33" s="2">
        <v>7337</v>
      </c>
      <c r="H33" s="2">
        <v>5406</v>
      </c>
      <c r="I33" s="2">
        <v>3692</v>
      </c>
      <c r="J33" s="2">
        <v>1758</v>
      </c>
      <c r="K33" s="18">
        <v>8380</v>
      </c>
      <c r="L33" s="4">
        <v>6368</v>
      </c>
      <c r="M33" s="4">
        <v>4110</v>
      </c>
      <c r="N33" s="4">
        <v>1959</v>
      </c>
      <c r="O33" s="4">
        <v>8346</v>
      </c>
      <c r="P33" s="17">
        <v>7142</v>
      </c>
    </row>
    <row r="34" spans="1:16" s="2" customFormat="1" ht="11.25">
      <c r="A34" s="2" t="s">
        <v>27</v>
      </c>
      <c r="C34" s="2">
        <v>3502</v>
      </c>
      <c r="D34" s="2">
        <v>2767</v>
      </c>
      <c r="E34" s="4">
        <v>1943</v>
      </c>
      <c r="F34" s="17">
        <v>1063</v>
      </c>
      <c r="G34" s="2">
        <v>4857</v>
      </c>
      <c r="H34" s="2">
        <v>3710</v>
      </c>
      <c r="I34" s="2">
        <v>2486</v>
      </c>
      <c r="J34" s="2">
        <v>1251</v>
      </c>
      <c r="K34" s="18">
        <v>6027</v>
      </c>
      <c r="L34" s="4">
        <v>4648</v>
      </c>
      <c r="M34" s="4">
        <v>2965</v>
      </c>
      <c r="N34" s="4">
        <v>1376</v>
      </c>
      <c r="O34" s="4">
        <v>5599</v>
      </c>
      <c r="P34" s="17">
        <v>4819</v>
      </c>
    </row>
    <row r="35" spans="1:16" s="2" customFormat="1" ht="11.25">
      <c r="A35" s="2" t="s">
        <v>28</v>
      </c>
      <c r="C35" s="4">
        <f>+C33-C34</f>
        <v>2333</v>
      </c>
      <c r="D35" s="4">
        <f>+D33-D34</f>
        <v>1758</v>
      </c>
      <c r="E35" s="4">
        <f>+E33-E34</f>
        <v>1160</v>
      </c>
      <c r="F35" s="17">
        <f>+F33-F34</f>
        <v>553</v>
      </c>
      <c r="G35" s="2">
        <f aca="true" t="shared" si="9" ref="G35:P35">G33-G34</f>
        <v>2480</v>
      </c>
      <c r="H35" s="2">
        <f t="shared" si="9"/>
        <v>1696</v>
      </c>
      <c r="I35" s="2">
        <f t="shared" si="9"/>
        <v>1206</v>
      </c>
      <c r="J35" s="2">
        <f t="shared" si="9"/>
        <v>507</v>
      </c>
      <c r="K35" s="18">
        <f t="shared" si="9"/>
        <v>2353</v>
      </c>
      <c r="L35" s="4">
        <f t="shared" si="9"/>
        <v>1720</v>
      </c>
      <c r="M35" s="4">
        <f t="shared" si="9"/>
        <v>1145</v>
      </c>
      <c r="N35" s="4">
        <f t="shared" si="9"/>
        <v>583</v>
      </c>
      <c r="O35" s="4">
        <f t="shared" si="9"/>
        <v>2747</v>
      </c>
      <c r="P35" s="17">
        <f t="shared" si="9"/>
        <v>2323</v>
      </c>
    </row>
    <row r="36" spans="1:16" s="2" customFormat="1" ht="11.25">
      <c r="A36" s="2" t="s">
        <v>29</v>
      </c>
      <c r="C36" s="2">
        <v>2081</v>
      </c>
      <c r="D36" s="2">
        <v>1778</v>
      </c>
      <c r="E36" s="4">
        <v>1268</v>
      </c>
      <c r="F36" s="17">
        <v>651</v>
      </c>
      <c r="G36" s="2">
        <v>3258</v>
      </c>
      <c r="H36" s="2">
        <v>2498</v>
      </c>
      <c r="I36" s="2">
        <v>1578</v>
      </c>
      <c r="J36" s="2">
        <v>230</v>
      </c>
      <c r="K36" s="18">
        <v>407</v>
      </c>
      <c r="L36" s="4">
        <v>301</v>
      </c>
      <c r="M36" s="4">
        <v>215</v>
      </c>
      <c r="N36" s="4">
        <v>121</v>
      </c>
      <c r="O36" s="4">
        <v>644</v>
      </c>
      <c r="P36" s="17">
        <v>666</v>
      </c>
    </row>
    <row r="37" spans="1:16" s="2" customFormat="1" ht="11.25">
      <c r="A37" s="2" t="s">
        <v>30</v>
      </c>
      <c r="C37" s="4">
        <f>+C36+C35</f>
        <v>4414</v>
      </c>
      <c r="D37" s="4">
        <f>+D36+D35</f>
        <v>3536</v>
      </c>
      <c r="E37" s="4">
        <f>+E36+E35</f>
        <v>2428</v>
      </c>
      <c r="F37" s="17">
        <f>+F36+F35</f>
        <v>1204</v>
      </c>
      <c r="G37" s="2">
        <f aca="true" t="shared" si="10" ref="G37:P37">G35+G36</f>
        <v>5738</v>
      </c>
      <c r="H37" s="2">
        <f t="shared" si="10"/>
        <v>4194</v>
      </c>
      <c r="I37" s="2">
        <f t="shared" si="10"/>
        <v>2784</v>
      </c>
      <c r="J37" s="2">
        <f t="shared" si="10"/>
        <v>737</v>
      </c>
      <c r="K37" s="18">
        <f t="shared" si="10"/>
        <v>2760</v>
      </c>
      <c r="L37" s="4">
        <f t="shared" si="10"/>
        <v>2021</v>
      </c>
      <c r="M37" s="4">
        <f t="shared" si="10"/>
        <v>1360</v>
      </c>
      <c r="N37" s="4">
        <f t="shared" si="10"/>
        <v>704</v>
      </c>
      <c r="O37" s="4">
        <f t="shared" si="10"/>
        <v>3391</v>
      </c>
      <c r="P37" s="17">
        <f t="shared" si="10"/>
        <v>2989</v>
      </c>
    </row>
    <row r="38" spans="1:16" s="2" customFormat="1" ht="11.25">
      <c r="A38" s="2" t="s">
        <v>31</v>
      </c>
      <c r="C38" s="2">
        <v>3514</v>
      </c>
      <c r="D38" s="2">
        <v>2932</v>
      </c>
      <c r="E38" s="4">
        <v>2008</v>
      </c>
      <c r="F38" s="17">
        <v>986</v>
      </c>
      <c r="G38" s="2">
        <v>4409</v>
      </c>
      <c r="H38" s="2">
        <v>3163</v>
      </c>
      <c r="I38" s="2">
        <v>2013</v>
      </c>
      <c r="J38" s="2">
        <v>548</v>
      </c>
      <c r="K38" s="18">
        <v>1925</v>
      </c>
      <c r="L38" s="4">
        <v>1412</v>
      </c>
      <c r="M38" s="4">
        <v>914</v>
      </c>
      <c r="N38" s="4">
        <v>450</v>
      </c>
      <c r="O38" s="4">
        <v>2072</v>
      </c>
      <c r="P38" s="17">
        <v>1460</v>
      </c>
    </row>
    <row r="39" spans="1:16" s="2" customFormat="1" ht="11.25">
      <c r="A39" s="2" t="s">
        <v>32</v>
      </c>
      <c r="C39" s="4">
        <f>+C37-C38</f>
        <v>900</v>
      </c>
      <c r="D39" s="4">
        <f>+D37-D38</f>
        <v>604</v>
      </c>
      <c r="E39" s="4">
        <f>+E37-E38</f>
        <v>420</v>
      </c>
      <c r="F39" s="17">
        <f>+F37-F38</f>
        <v>218</v>
      </c>
      <c r="G39" s="2">
        <f aca="true" t="shared" si="11" ref="G39:P39">G37-G38</f>
        <v>1329</v>
      </c>
      <c r="H39" s="2">
        <f t="shared" si="11"/>
        <v>1031</v>
      </c>
      <c r="I39" s="2">
        <f t="shared" si="11"/>
        <v>771</v>
      </c>
      <c r="J39" s="2">
        <f t="shared" si="11"/>
        <v>189</v>
      </c>
      <c r="K39" s="18">
        <f t="shared" si="11"/>
        <v>835</v>
      </c>
      <c r="L39" s="4">
        <f t="shared" si="11"/>
        <v>609</v>
      </c>
      <c r="M39" s="4">
        <f t="shared" si="11"/>
        <v>446</v>
      </c>
      <c r="N39" s="4">
        <f t="shared" si="11"/>
        <v>254</v>
      </c>
      <c r="O39" s="4">
        <f t="shared" si="11"/>
        <v>1319</v>
      </c>
      <c r="P39" s="17">
        <f t="shared" si="11"/>
        <v>1529</v>
      </c>
    </row>
    <row r="40" spans="1:16" s="2" customFormat="1" ht="11.25">
      <c r="A40" s="3" t="s">
        <v>33</v>
      </c>
      <c r="B40" s="3"/>
      <c r="C40" s="3">
        <v>473</v>
      </c>
      <c r="D40" s="3">
        <v>342</v>
      </c>
      <c r="E40" s="3">
        <v>220</v>
      </c>
      <c r="F40" s="21">
        <v>218</v>
      </c>
      <c r="G40" s="3">
        <v>930</v>
      </c>
      <c r="H40" s="3">
        <v>955</v>
      </c>
      <c r="I40" s="3">
        <v>710</v>
      </c>
      <c r="J40" s="3">
        <v>189</v>
      </c>
      <c r="K40" s="22">
        <v>625</v>
      </c>
      <c r="L40" s="3">
        <v>609</v>
      </c>
      <c r="M40" s="3">
        <v>446</v>
      </c>
      <c r="N40" s="3">
        <v>254</v>
      </c>
      <c r="O40" s="3">
        <v>1024</v>
      </c>
      <c r="P40" s="21">
        <v>1216</v>
      </c>
    </row>
    <row r="41" spans="1:16" s="2" customFormat="1" ht="11.25">
      <c r="A41" s="13" t="s">
        <v>34</v>
      </c>
      <c r="E41" s="4"/>
      <c r="F41" s="17"/>
      <c r="K41" s="18"/>
      <c r="L41" s="4"/>
      <c r="M41" s="4"/>
      <c r="N41" s="4"/>
      <c r="O41" s="4"/>
      <c r="P41" s="17"/>
    </row>
    <row r="42" spans="1:16" s="2" customFormat="1" ht="11.25">
      <c r="A42" s="2" t="s">
        <v>35</v>
      </c>
      <c r="C42" s="2">
        <v>3148</v>
      </c>
      <c r="D42" s="2">
        <v>7131</v>
      </c>
      <c r="E42" s="4">
        <v>4315</v>
      </c>
      <c r="F42" s="17">
        <v>4479</v>
      </c>
      <c r="G42" s="2">
        <v>499</v>
      </c>
      <c r="H42" s="2">
        <v>498</v>
      </c>
      <c r="I42" s="2">
        <v>653</v>
      </c>
      <c r="J42" s="2">
        <v>705</v>
      </c>
      <c r="K42" s="18">
        <v>610</v>
      </c>
      <c r="L42" s="4">
        <v>3615</v>
      </c>
      <c r="M42" s="4">
        <v>3354</v>
      </c>
      <c r="N42" s="4">
        <v>4222</v>
      </c>
      <c r="O42" s="4">
        <v>2001</v>
      </c>
      <c r="P42" s="17">
        <v>147</v>
      </c>
    </row>
    <row r="43" spans="1:16" s="2" customFormat="1" ht="11.25">
      <c r="A43" s="2" t="s">
        <v>36</v>
      </c>
      <c r="C43" s="2">
        <v>545</v>
      </c>
      <c r="D43" s="20">
        <v>797</v>
      </c>
      <c r="E43" s="19">
        <v>729</v>
      </c>
      <c r="F43" s="17">
        <v>535</v>
      </c>
      <c r="G43" s="2">
        <v>526</v>
      </c>
      <c r="H43" s="2">
        <v>462</v>
      </c>
      <c r="I43" s="2">
        <v>447</v>
      </c>
      <c r="J43" s="2">
        <v>445</v>
      </c>
      <c r="K43" s="18">
        <v>445</v>
      </c>
      <c r="L43" s="4">
        <v>234</v>
      </c>
      <c r="M43" s="4">
        <v>234</v>
      </c>
      <c r="N43" s="4">
        <v>234</v>
      </c>
      <c r="O43" s="4">
        <v>234</v>
      </c>
      <c r="P43" s="17">
        <v>208</v>
      </c>
    </row>
    <row r="44" spans="1:16" s="2" customFormat="1" ht="11.25">
      <c r="A44" s="2" t="s">
        <v>37</v>
      </c>
      <c r="C44" s="23">
        <f aca="true" t="shared" si="12" ref="C44:P44">C42/C12</f>
        <v>0.08040663073740134</v>
      </c>
      <c r="D44" s="23">
        <f t="shared" si="12"/>
        <v>0.20490201712545256</v>
      </c>
      <c r="E44" s="23">
        <f t="shared" si="12"/>
        <v>0.11761338857392063</v>
      </c>
      <c r="F44" s="24">
        <f t="shared" si="12"/>
        <v>0.10978479337222413</v>
      </c>
      <c r="G44" s="25">
        <f t="shared" si="12"/>
        <v>0.012338962933656437</v>
      </c>
      <c r="H44" s="25">
        <f t="shared" si="12"/>
        <v>0.012159093683619405</v>
      </c>
      <c r="I44" s="25">
        <f t="shared" si="12"/>
        <v>0.015602226841564523</v>
      </c>
      <c r="J44" s="25">
        <f t="shared" si="12"/>
        <v>0.016849098991444003</v>
      </c>
      <c r="K44" s="26">
        <f t="shared" si="12"/>
        <v>0.015241617110589176</v>
      </c>
      <c r="L44" s="23">
        <f t="shared" si="12"/>
        <v>0.09408427244098587</v>
      </c>
      <c r="M44" s="23">
        <f t="shared" si="12"/>
        <v>0.07174638487208009</v>
      </c>
      <c r="N44" s="23">
        <f t="shared" si="12"/>
        <v>0.08500271799311442</v>
      </c>
      <c r="O44" s="4">
        <f t="shared" si="12"/>
        <v>0.039870882897961625</v>
      </c>
      <c r="P44" s="17">
        <f t="shared" si="12"/>
        <v>0.002508275603180562</v>
      </c>
    </row>
    <row r="45" spans="1:16" s="2" customFormat="1" ht="11.25">
      <c r="A45" s="2" t="s">
        <v>38</v>
      </c>
      <c r="C45" s="23">
        <f aca="true" t="shared" si="13" ref="C45:P45">C43/C42</f>
        <v>0.17312579415501905</v>
      </c>
      <c r="D45" s="23">
        <f t="shared" si="13"/>
        <v>0.11176553078109662</v>
      </c>
      <c r="E45" s="23">
        <f t="shared" si="13"/>
        <v>0.16894553881807647</v>
      </c>
      <c r="F45" s="24">
        <f t="shared" si="13"/>
        <v>0.11944630497878991</v>
      </c>
      <c r="G45" s="25">
        <f t="shared" si="13"/>
        <v>1.0541082164328657</v>
      </c>
      <c r="H45" s="25">
        <f t="shared" si="13"/>
        <v>0.927710843373494</v>
      </c>
      <c r="I45" s="25">
        <f t="shared" si="13"/>
        <v>0.6845329249617151</v>
      </c>
      <c r="J45" s="25">
        <f t="shared" si="13"/>
        <v>0.6312056737588653</v>
      </c>
      <c r="K45" s="26">
        <f t="shared" si="13"/>
        <v>0.7295081967213115</v>
      </c>
      <c r="L45" s="23">
        <f t="shared" si="13"/>
        <v>0.06473029045643154</v>
      </c>
      <c r="M45" s="23">
        <f t="shared" si="13"/>
        <v>0.06976744186046512</v>
      </c>
      <c r="N45" s="23">
        <f t="shared" si="13"/>
        <v>0.05542396968261488</v>
      </c>
      <c r="O45" s="4">
        <f t="shared" si="13"/>
        <v>0.11694152923538231</v>
      </c>
      <c r="P45" s="17">
        <f t="shared" si="13"/>
        <v>1.4149659863945578</v>
      </c>
    </row>
    <row r="46" spans="1:16" s="2" customFormat="1" ht="11.25">
      <c r="A46" s="3" t="s">
        <v>39</v>
      </c>
      <c r="B46" s="3"/>
      <c r="C46" s="27">
        <f aca="true" t="shared" si="14" ref="C46:P46">C43/C12</f>
        <v>0.013920461801741973</v>
      </c>
      <c r="D46" s="27">
        <f t="shared" si="14"/>
        <v>0.022900982702143555</v>
      </c>
      <c r="E46" s="27">
        <f t="shared" si="14"/>
        <v>0.01987025730484082</v>
      </c>
      <c r="F46" s="28">
        <f t="shared" si="14"/>
        <v>0.013113387911172116</v>
      </c>
      <c r="G46" s="27">
        <f t="shared" si="14"/>
        <v>0.013006602210627828</v>
      </c>
      <c r="H46" s="27">
        <f t="shared" si="14"/>
        <v>0.011280123055887882</v>
      </c>
      <c r="I46" s="27">
        <f t="shared" si="14"/>
        <v>0.010680237975772345</v>
      </c>
      <c r="J46" s="27">
        <f t="shared" si="14"/>
        <v>0.010635246881124228</v>
      </c>
      <c r="K46" s="29">
        <f t="shared" si="14"/>
        <v>0.011118884613462596</v>
      </c>
      <c r="L46" s="27">
        <f t="shared" si="14"/>
        <v>0.006090102282487052</v>
      </c>
      <c r="M46" s="27">
        <f t="shared" si="14"/>
        <v>0.005005561735261402</v>
      </c>
      <c r="N46" s="27">
        <f t="shared" si="14"/>
        <v>0.004711188064990235</v>
      </c>
      <c r="O46" s="4">
        <f t="shared" si="14"/>
        <v>0.004662562018052483</v>
      </c>
      <c r="P46" s="17">
        <f t="shared" si="14"/>
        <v>0.003549124663003788</v>
      </c>
    </row>
    <row r="47" spans="1:16" s="2" customFormat="1" ht="11.25">
      <c r="A47" s="13" t="s">
        <v>40</v>
      </c>
      <c r="C47" s="25"/>
      <c r="D47" s="25"/>
      <c r="E47" s="23"/>
      <c r="F47" s="24"/>
      <c r="G47" s="25"/>
      <c r="H47" s="25"/>
      <c r="I47" s="25"/>
      <c r="J47" s="25"/>
      <c r="K47" s="26"/>
      <c r="L47" s="23"/>
      <c r="M47" s="23"/>
      <c r="N47" s="23"/>
      <c r="O47" s="4"/>
      <c r="P47" s="17"/>
    </row>
    <row r="48" spans="1:16" s="2" customFormat="1" ht="11.25">
      <c r="A48" s="2" t="s">
        <v>41</v>
      </c>
      <c r="C48" s="23">
        <f aca="true" t="shared" si="15" ref="C48:P48">C25/(C12+C15)</f>
        <v>0.2717809678278341</v>
      </c>
      <c r="D48" s="23">
        <f t="shared" si="15"/>
        <v>0.3084887250650477</v>
      </c>
      <c r="E48" s="23">
        <f t="shared" si="15"/>
        <v>0.29768690095846645</v>
      </c>
      <c r="F48" s="24">
        <f t="shared" si="15"/>
        <v>0.2693419683127096</v>
      </c>
      <c r="G48" s="25">
        <f t="shared" si="15"/>
        <v>0.26883050214672394</v>
      </c>
      <c r="H48" s="25">
        <f t="shared" si="15"/>
        <v>0.26844507977497</v>
      </c>
      <c r="I48" s="25">
        <f t="shared" si="15"/>
        <v>0.2517672528055138</v>
      </c>
      <c r="J48" s="25">
        <f t="shared" si="15"/>
        <v>0.2453849108615586</v>
      </c>
      <c r="K48" s="26">
        <f t="shared" si="15"/>
        <v>0.2514550981454863</v>
      </c>
      <c r="L48" s="23">
        <f t="shared" si="15"/>
        <v>0.27844164748518535</v>
      </c>
      <c r="M48" s="23">
        <f t="shared" si="15"/>
        <v>0.22771432055607496</v>
      </c>
      <c r="N48" s="23">
        <f t="shared" si="15"/>
        <v>0.2192529783029908</v>
      </c>
      <c r="O48" s="4">
        <f t="shared" si="15"/>
        <v>0.2124988128027353</v>
      </c>
      <c r="P48" s="17">
        <f t="shared" si="15"/>
        <v>0.1667247531325201</v>
      </c>
    </row>
    <row r="49" spans="1:16" s="2" customFormat="1" ht="11.25">
      <c r="A49" s="3" t="s">
        <v>42</v>
      </c>
      <c r="B49" s="3"/>
      <c r="C49" s="27">
        <f aca="true" t="shared" si="16" ref="C49:P49">C25/C12</f>
        <v>0.28676151311588466</v>
      </c>
      <c r="D49" s="27">
        <f t="shared" si="16"/>
        <v>0.32705016953048677</v>
      </c>
      <c r="E49" s="27">
        <f t="shared" si="16"/>
        <v>0.31746075010902747</v>
      </c>
      <c r="F49" s="28">
        <f t="shared" si="16"/>
        <v>0.28543065836560616</v>
      </c>
      <c r="G49" s="27">
        <f t="shared" si="16"/>
        <v>0.28488415222175517</v>
      </c>
      <c r="H49" s="27">
        <f t="shared" si="16"/>
        <v>0.28427375051883685</v>
      </c>
      <c r="I49" s="27">
        <f t="shared" si="16"/>
        <v>0.2723102286574439</v>
      </c>
      <c r="J49" s="27">
        <f t="shared" si="16"/>
        <v>0.25954782276181826</v>
      </c>
      <c r="K49" s="29">
        <f t="shared" si="16"/>
        <v>0.2666283544050772</v>
      </c>
      <c r="L49" s="27">
        <f t="shared" si="16"/>
        <v>0.2959425344194883</v>
      </c>
      <c r="M49" s="27">
        <f t="shared" si="16"/>
        <v>0.23966800718747325</v>
      </c>
      <c r="N49" s="27">
        <f t="shared" si="16"/>
        <v>0.23010328373834787</v>
      </c>
      <c r="O49" s="3">
        <f t="shared" si="16"/>
        <v>0.22290633032458604</v>
      </c>
      <c r="P49" s="21">
        <f t="shared" si="16"/>
        <v>0.17141589598334642</v>
      </c>
    </row>
    <row r="50" spans="1:16" s="2" customFormat="1" ht="11.25">
      <c r="A50" s="13" t="s">
        <v>43</v>
      </c>
      <c r="C50" s="25"/>
      <c r="D50" s="30"/>
      <c r="E50" s="23"/>
      <c r="F50" s="24"/>
      <c r="G50" s="25"/>
      <c r="H50" s="25"/>
      <c r="I50" s="25"/>
      <c r="J50" s="25"/>
      <c r="K50" s="26"/>
      <c r="L50" s="23"/>
      <c r="M50" s="23"/>
      <c r="N50" s="23"/>
      <c r="O50" s="4"/>
      <c r="P50" s="17"/>
    </row>
    <row r="51" spans="1:16" s="2" customFormat="1" ht="11.25">
      <c r="A51" s="2" t="s">
        <v>44</v>
      </c>
      <c r="C51" s="23">
        <f aca="true" t="shared" si="17" ref="C51:P51">C11/C16</f>
        <v>0.34813186813186814</v>
      </c>
      <c r="D51" s="23">
        <f t="shared" si="17"/>
        <v>0.45748386623643295</v>
      </c>
      <c r="E51" s="23">
        <f t="shared" si="17"/>
        <v>0.4275849795337249</v>
      </c>
      <c r="F51" s="24">
        <f t="shared" si="17"/>
        <v>0.4322614975294565</v>
      </c>
      <c r="G51" s="25">
        <f t="shared" si="17"/>
        <v>0.487257857421984</v>
      </c>
      <c r="H51" s="25">
        <f t="shared" si="17"/>
        <v>0.45018346452032904</v>
      </c>
      <c r="I51" s="25">
        <f t="shared" si="17"/>
        <v>0.4393969820414252</v>
      </c>
      <c r="J51" s="25">
        <f t="shared" si="17"/>
        <v>0.48251577778379695</v>
      </c>
      <c r="K51" s="26">
        <f t="shared" si="17"/>
        <v>0.4791565433109128</v>
      </c>
      <c r="L51" s="23">
        <f t="shared" si="17"/>
        <v>0.539911426040744</v>
      </c>
      <c r="M51" s="23">
        <f t="shared" si="17"/>
        <v>0.5114745272225587</v>
      </c>
      <c r="N51" s="23">
        <f t="shared" si="17"/>
        <v>0.389885081542368</v>
      </c>
      <c r="O51" s="4">
        <f t="shared" si="17"/>
        <v>0.4394147820004663</v>
      </c>
      <c r="P51" s="17">
        <f t="shared" si="17"/>
        <v>0.35844936546267275</v>
      </c>
    </row>
    <row r="52" spans="1:16" s="2" customFormat="1" ht="11.25">
      <c r="A52" s="2" t="s">
        <v>45</v>
      </c>
      <c r="C52" s="23">
        <f aca="true" t="shared" si="18" ref="C52:P52">C11/C10</f>
        <v>0.27667912147999635</v>
      </c>
      <c r="D52" s="23">
        <f t="shared" si="18"/>
        <v>0.36513023119695637</v>
      </c>
      <c r="E52" s="23">
        <f t="shared" si="18"/>
        <v>0.34193897301605375</v>
      </c>
      <c r="F52" s="24">
        <f t="shared" si="18"/>
        <v>0.35641131711230617</v>
      </c>
      <c r="G52" s="25">
        <f t="shared" si="18"/>
        <v>0.40616347518555573</v>
      </c>
      <c r="H52" s="25">
        <f t="shared" si="18"/>
        <v>0.36716987051852923</v>
      </c>
      <c r="I52" s="25">
        <f t="shared" si="18"/>
        <v>0.3626151187291366</v>
      </c>
      <c r="J52" s="25">
        <f t="shared" si="18"/>
        <v>0.4046750945582172</v>
      </c>
      <c r="K52" s="26">
        <f t="shared" si="18"/>
        <v>0.4067452563935565</v>
      </c>
      <c r="L52" s="23">
        <f t="shared" si="18"/>
        <v>0.46273672277498307</v>
      </c>
      <c r="M52" s="23">
        <f t="shared" si="18"/>
        <v>0.43056644036749225</v>
      </c>
      <c r="N52" s="23">
        <f t="shared" si="18"/>
        <v>0.3235364396654719</v>
      </c>
      <c r="O52" s="4">
        <f t="shared" si="18"/>
        <v>0.3766700976326335</v>
      </c>
      <c r="P52" s="17">
        <f t="shared" si="18"/>
        <v>0.3079758528214014</v>
      </c>
    </row>
    <row r="53" spans="1:16" s="2" customFormat="1" ht="11.25">
      <c r="A53" s="3" t="s">
        <v>46</v>
      </c>
      <c r="B53" s="3"/>
      <c r="C53" s="27">
        <f aca="true" t="shared" si="19" ref="C53:P53">(C11+C15)/C16</f>
        <v>0.38937410415671286</v>
      </c>
      <c r="D53" s="27">
        <f t="shared" si="19"/>
        <v>0.4958748899970666</v>
      </c>
      <c r="E53" s="27">
        <f t="shared" si="19"/>
        <v>0.47095568606513616</v>
      </c>
      <c r="F53" s="28">
        <f t="shared" si="19"/>
        <v>0.46931204865070314</v>
      </c>
      <c r="G53" s="27">
        <f t="shared" si="19"/>
        <v>0.52096242952046</v>
      </c>
      <c r="H53" s="27">
        <f t="shared" si="19"/>
        <v>0.4859146594069953</v>
      </c>
      <c r="I53" s="27">
        <f t="shared" si="19"/>
        <v>0.48838143324344485</v>
      </c>
      <c r="J53" s="27">
        <f t="shared" si="19"/>
        <v>0.5152225141526043</v>
      </c>
      <c r="K53" s="29">
        <f t="shared" si="19"/>
        <v>0.5100381064422905</v>
      </c>
      <c r="L53" s="27">
        <f t="shared" si="19"/>
        <v>0.5684322409211692</v>
      </c>
      <c r="M53" s="27">
        <f t="shared" si="19"/>
        <v>0.5389999327007201</v>
      </c>
      <c r="N53" s="27">
        <f t="shared" si="19"/>
        <v>0.4220570142142876</v>
      </c>
      <c r="O53" s="3">
        <f t="shared" si="19"/>
        <v>0.46806948006528326</v>
      </c>
      <c r="P53" s="21">
        <f t="shared" si="19"/>
        <v>0.37963058110260495</v>
      </c>
    </row>
    <row r="54" spans="1:16" s="2" customFormat="1" ht="11.25">
      <c r="A54" s="13" t="s">
        <v>47</v>
      </c>
      <c r="C54" s="25"/>
      <c r="D54" s="30"/>
      <c r="E54" s="23"/>
      <c r="F54" s="24"/>
      <c r="G54" s="25"/>
      <c r="H54" s="25"/>
      <c r="I54" s="25"/>
      <c r="J54" s="25"/>
      <c r="K54" s="26"/>
      <c r="L54" s="23"/>
      <c r="M54" s="23"/>
      <c r="N54" s="23"/>
      <c r="O54" s="4"/>
      <c r="P54" s="17"/>
    </row>
    <row r="55" spans="1:16" s="2" customFormat="1" ht="11.25">
      <c r="A55" s="2" t="s">
        <v>48</v>
      </c>
      <c r="B55" s="4"/>
      <c r="C55" s="23">
        <f>(C40)/C28</f>
        <v>0.01123982653121844</v>
      </c>
      <c r="D55" s="23">
        <f>((D40)/0.75)/D28</f>
        <v>0.011361937509343698</v>
      </c>
      <c r="E55" s="23">
        <f>((E40)/0.5)/E28</f>
        <v>0.010427405116538101</v>
      </c>
      <c r="F55" s="24">
        <f>((F40)/0.25)/F28</f>
        <v>0.019933251040095093</v>
      </c>
      <c r="G55" s="23">
        <f>(G40)/G28</f>
        <v>0.021807182301009462</v>
      </c>
      <c r="H55" s="25">
        <f>((H40)/0.75)/H28</f>
        <v>0.030241855678264654</v>
      </c>
      <c r="I55" s="25">
        <f>((I40)/0.5)/I28</f>
        <v>0.0300624536890018</v>
      </c>
      <c r="J55" s="25">
        <f>((J40)/0.25)/J28</f>
        <v>0.015687250996015936</v>
      </c>
      <c r="K55" s="26">
        <f>(K40)/K28</f>
        <v>0.013146547190845796</v>
      </c>
      <c r="L55" s="23">
        <f>((L40)/0.75)/L28</f>
        <v>0.01587611934462128</v>
      </c>
      <c r="M55" s="23">
        <f>((M40)/0.5)/M28</f>
        <v>0.0154818106081644</v>
      </c>
      <c r="N55" s="23">
        <f>((N40)/0.25)/N28</f>
        <v>0.01821572002294894</v>
      </c>
      <c r="O55" s="4">
        <f>O40/O28</f>
        <v>0.018139946855624447</v>
      </c>
      <c r="P55" s="17">
        <f>P40/P28</f>
        <v>0.022241325700071334</v>
      </c>
    </row>
    <row r="56" spans="1:16" s="2" customFormat="1" ht="11.25">
      <c r="A56" s="2" t="s">
        <v>49</v>
      </c>
      <c r="B56" s="4"/>
      <c r="C56" s="23">
        <f>(C40)/C27</f>
        <v>0.006232048275316873</v>
      </c>
      <c r="D56" s="23">
        <f>((D40)/0.75)/D27</f>
        <v>0.006031387020613853</v>
      </c>
      <c r="E56" s="23">
        <f>((E40)/0.5)/E27</f>
        <v>0.005686885267089737</v>
      </c>
      <c r="F56" s="24">
        <f>((F40)/0.25)/F27</f>
        <v>0.010392458316946143</v>
      </c>
      <c r="G56" s="23">
        <f>(G40)/G27</f>
        <v>0.010444626632674835</v>
      </c>
      <c r="H56" s="25">
        <f>((H40)/0.75)/H27</f>
        <v>0.014018400067523184</v>
      </c>
      <c r="I56" s="25">
        <f>((I40)/0.5)/I27</f>
        <v>0.01491714158153216</v>
      </c>
      <c r="J56" s="25">
        <f>((J40)/0.25)/J27</f>
        <v>0.008394823192364708</v>
      </c>
      <c r="K56" s="26">
        <f>(K40)/K27</f>
        <v>0.0065038789133839425</v>
      </c>
      <c r="L56" s="23">
        <f>((L40)/0.75)/L27</f>
        <v>0.008428482457961387</v>
      </c>
      <c r="M56" s="23">
        <f>((M40)/0.5)/M27</f>
        <v>0.008646427048195108</v>
      </c>
      <c r="N56" s="23">
        <f>((N40)/0.25)/N27</f>
        <v>0.011215737357457472</v>
      </c>
      <c r="O56" s="4">
        <f>O40/O27</f>
        <v>0.010740507656807216</v>
      </c>
      <c r="P56" s="17">
        <f>P40/P27</f>
        <v>0.014447295884421634</v>
      </c>
    </row>
    <row r="57" spans="1:16" s="2" customFormat="1" ht="11.25">
      <c r="A57" s="2" t="s">
        <v>50</v>
      </c>
      <c r="B57" s="4"/>
      <c r="C57" s="23">
        <f>(C40)/C31</f>
        <v>0.041586073500967116</v>
      </c>
      <c r="D57" s="23">
        <f>((D40)/0.75)/D31</f>
        <v>0.03960912052117264</v>
      </c>
      <c r="E57" s="23">
        <f>((E40)/0.5)/E31</f>
        <v>0.03818781461551814</v>
      </c>
      <c r="F57" s="24">
        <f>((F40)/0.25)/F31</f>
        <v>0.07749389024661187</v>
      </c>
      <c r="G57" s="23">
        <f>(G40)/G31</f>
        <v>0.08381398702235039</v>
      </c>
      <c r="H57" s="25">
        <f>((H40)/0.75)/H31</f>
        <v>0.1106572810752875</v>
      </c>
      <c r="I57" s="25">
        <f>((I40)/0.5)/I31</f>
        <v>0.12565815671872926</v>
      </c>
      <c r="J57" s="25">
        <f>((J40)/0.25)/J31</f>
        <v>0.06783615236215174</v>
      </c>
      <c r="K57" s="26">
        <f>(K40)/K31</f>
        <v>0.05718729984445054</v>
      </c>
      <c r="L57" s="23">
        <f>((L40)/0.75)/L31</f>
        <v>0.07262969588550984</v>
      </c>
      <c r="M57" s="23">
        <f>((M40)/0.5)/M31</f>
        <v>0.08147606868834491</v>
      </c>
      <c r="N57" s="23">
        <f>((N40)/0.25)/N31</f>
        <v>0.09327090792251905</v>
      </c>
      <c r="O57" s="4">
        <f>O40/O31</f>
        <v>0.09645363349503132</v>
      </c>
      <c r="P57" s="17">
        <f>P40/P31</f>
        <v>0.1527830129413243</v>
      </c>
    </row>
    <row r="58" spans="1:16" s="2" customFormat="1" ht="11.25">
      <c r="A58" s="2" t="s">
        <v>51</v>
      </c>
      <c r="B58" s="4"/>
      <c r="C58" s="23">
        <f aca="true" t="shared" si="20" ref="C58:P58">(C33)/C28</f>
        <v>0.1386562110140795</v>
      </c>
      <c r="D58" s="23">
        <f t="shared" si="20"/>
        <v>0.1127472965565356</v>
      </c>
      <c r="E58" s="23">
        <f t="shared" si="20"/>
        <v>0.07353690471958575</v>
      </c>
      <c r="F58" s="24">
        <f t="shared" si="20"/>
        <v>0.03694052027613953</v>
      </c>
      <c r="G58" s="23">
        <f t="shared" si="20"/>
        <v>0.1720422543467811</v>
      </c>
      <c r="H58" s="23">
        <f t="shared" si="20"/>
        <v>0.12839330245814037</v>
      </c>
      <c r="I58" s="23">
        <f t="shared" si="20"/>
        <v>0.07816237959140468</v>
      </c>
      <c r="J58" s="24">
        <f t="shared" si="20"/>
        <v>0.03647908366533865</v>
      </c>
      <c r="K58" s="23">
        <f t="shared" si="20"/>
        <v>0.17626890473486043</v>
      </c>
      <c r="L58" s="23">
        <f t="shared" si="20"/>
        <v>0.12450631525436984</v>
      </c>
      <c r="M58" s="23">
        <f t="shared" si="20"/>
        <v>0.07133435156900861</v>
      </c>
      <c r="N58" s="23">
        <f t="shared" si="20"/>
        <v>0.035122633390705676</v>
      </c>
      <c r="O58" s="4">
        <f t="shared" si="20"/>
        <v>0.14784765279007972</v>
      </c>
      <c r="P58" s="17">
        <f t="shared" si="20"/>
        <v>0.1306312073601229</v>
      </c>
    </row>
    <row r="59" spans="1:16" s="2" customFormat="1" ht="11.25">
      <c r="A59" s="2" t="s">
        <v>52</v>
      </c>
      <c r="B59" s="4"/>
      <c r="C59" s="23">
        <f aca="true" t="shared" si="21" ref="C59:P59">(C34)/C28</f>
        <v>0.08321748945523674</v>
      </c>
      <c r="D59" s="23">
        <f t="shared" si="21"/>
        <v>0.06894403747446055</v>
      </c>
      <c r="E59" s="23">
        <f t="shared" si="21"/>
        <v>0.04604647304871257</v>
      </c>
      <c r="F59" s="24">
        <f t="shared" si="21"/>
        <v>0.024299364513326933</v>
      </c>
      <c r="G59" s="23">
        <f t="shared" si="21"/>
        <v>0.11388976821075586</v>
      </c>
      <c r="H59" s="23">
        <f t="shared" si="21"/>
        <v>0.08811305070656691</v>
      </c>
      <c r="I59" s="23">
        <f t="shared" si="21"/>
        <v>0.052630464697787656</v>
      </c>
      <c r="J59" s="24">
        <f t="shared" si="21"/>
        <v>0.02595866533864542</v>
      </c>
      <c r="K59" s="23">
        <f t="shared" si="21"/>
        <v>0.12677478387076418</v>
      </c>
      <c r="L59" s="23">
        <f t="shared" si="21"/>
        <v>0.09087709693817698</v>
      </c>
      <c r="M59" s="23">
        <f t="shared" si="21"/>
        <v>0.05146139961121911</v>
      </c>
      <c r="N59" s="23">
        <f t="shared" si="21"/>
        <v>0.024670109007458405</v>
      </c>
      <c r="O59" s="4">
        <f t="shared" si="21"/>
        <v>0.099185119574845</v>
      </c>
      <c r="P59" s="17">
        <f t="shared" si="21"/>
        <v>0.0881422274248715</v>
      </c>
    </row>
    <row r="60" spans="1:16" s="2" customFormat="1" ht="11.25">
      <c r="A60" s="2" t="s">
        <v>53</v>
      </c>
      <c r="B60" s="4"/>
      <c r="C60" s="23">
        <f aca="true" t="shared" si="22" ref="C60:P60">(C35)/C28</f>
        <v>0.055438721558842746</v>
      </c>
      <c r="D60" s="23">
        <f t="shared" si="22"/>
        <v>0.043803259082075045</v>
      </c>
      <c r="E60" s="23">
        <f t="shared" si="22"/>
        <v>0.027490431670873176</v>
      </c>
      <c r="F60" s="24">
        <f t="shared" si="22"/>
        <v>0.0126411557628126</v>
      </c>
      <c r="G60" s="23">
        <f t="shared" si="22"/>
        <v>0.05815248613602523</v>
      </c>
      <c r="H60" s="23">
        <f t="shared" si="22"/>
        <v>0.040280251751573445</v>
      </c>
      <c r="I60" s="23">
        <f t="shared" si="22"/>
        <v>0.02553191489361702</v>
      </c>
      <c r="J60" s="24">
        <f t="shared" si="22"/>
        <v>0.010520418326693226</v>
      </c>
      <c r="K60" s="23">
        <f t="shared" si="22"/>
        <v>0.049494120864096255</v>
      </c>
      <c r="L60" s="23">
        <f t="shared" si="22"/>
        <v>0.03362921831619286</v>
      </c>
      <c r="M60" s="23">
        <f t="shared" si="22"/>
        <v>0.019872951957789504</v>
      </c>
      <c r="N60" s="23">
        <f t="shared" si="22"/>
        <v>0.010452524383247275</v>
      </c>
      <c r="O60" s="4">
        <f t="shared" si="22"/>
        <v>0.04866253321523472</v>
      </c>
      <c r="P60" s="17">
        <f t="shared" si="22"/>
        <v>0.04248897993525141</v>
      </c>
    </row>
    <row r="61" spans="1:16" s="2" customFormat="1" ht="11.25">
      <c r="A61" s="2" t="s">
        <v>54</v>
      </c>
      <c r="B61" s="4"/>
      <c r="C61" s="23">
        <f>(C38)/(C37)</f>
        <v>0.7961033076574535</v>
      </c>
      <c r="D61" s="23">
        <f>(D38/0.75)/(D37/0.75)</f>
        <v>0.8291855203619909</v>
      </c>
      <c r="E61" s="23">
        <f>(E38/0.5)/(E37/0.5)</f>
        <v>0.8270181219110379</v>
      </c>
      <c r="F61" s="24">
        <f>(F38/0.25)/(F37/0.25)</f>
        <v>0.8189368770764119</v>
      </c>
      <c r="G61" s="23">
        <f>(G38)/(G37)</f>
        <v>0.7683861972812827</v>
      </c>
      <c r="H61" s="23">
        <f>(H38/0.75)/(H37/0.75)</f>
        <v>0.7541726275631855</v>
      </c>
      <c r="I61" s="23">
        <f>(I38/0.5)/(I37/0.5)</f>
        <v>0.7230603448275862</v>
      </c>
      <c r="J61" s="24">
        <f>(J38/0.25)/(J37/0.25)</f>
        <v>0.7435549525101763</v>
      </c>
      <c r="K61" s="23">
        <f>(K38)/(K37)</f>
        <v>0.697463768115942</v>
      </c>
      <c r="L61" s="23">
        <f>((L38)/0.75)/((L37)/0.75)</f>
        <v>0.698664027709055</v>
      </c>
      <c r="M61" s="23">
        <f>((M38)/0.5)/((M37)/0.5)</f>
        <v>0.6720588235294118</v>
      </c>
      <c r="N61" s="23">
        <f>(N38/0.25)/(N37/0.25)</f>
        <v>0.6392045454545454</v>
      </c>
      <c r="O61" s="4">
        <f>O38/O37</f>
        <v>0.6110291949277499</v>
      </c>
      <c r="P61" s="17">
        <f>P38/P37</f>
        <v>0.4884576781532285</v>
      </c>
    </row>
    <row r="62" spans="1:16" s="2" customFormat="1" ht="11.25">
      <c r="A62" s="3" t="s">
        <v>55</v>
      </c>
      <c r="B62" s="3"/>
      <c r="C62" s="27">
        <f aca="true" t="shared" si="23" ref="C62:P62">(C36)/C28</f>
        <v>0.04945048416800333</v>
      </c>
      <c r="D62" s="27">
        <f t="shared" si="23"/>
        <v>0.04430158967459012</v>
      </c>
      <c r="E62" s="27">
        <f t="shared" si="23"/>
        <v>0.030049885654023438</v>
      </c>
      <c r="F62" s="28">
        <f t="shared" si="23"/>
        <v>0.014881360581538883</v>
      </c>
      <c r="G62" s="27">
        <f t="shared" si="23"/>
        <v>0.07639548380289121</v>
      </c>
      <c r="H62" s="27">
        <f t="shared" si="23"/>
        <v>0.059327870799192495</v>
      </c>
      <c r="I62" s="27">
        <f t="shared" si="23"/>
        <v>0.03340743093045411</v>
      </c>
      <c r="J62" s="28">
        <f t="shared" si="23"/>
        <v>0.00477257636122178</v>
      </c>
      <c r="K62" s="27">
        <f t="shared" si="23"/>
        <v>0.008561031530678782</v>
      </c>
      <c r="L62" s="27">
        <f t="shared" si="23"/>
        <v>0.005885113205333751</v>
      </c>
      <c r="M62" s="27">
        <f t="shared" si="23"/>
        <v>0.003731602332685365</v>
      </c>
      <c r="N62" s="27">
        <f t="shared" si="23"/>
        <v>0.002169391853126793</v>
      </c>
      <c r="O62" s="3">
        <f t="shared" si="23"/>
        <v>0.011408325952170062</v>
      </c>
      <c r="P62" s="21">
        <f t="shared" si="23"/>
        <v>0.012181515556124595</v>
      </c>
    </row>
    <row r="63" spans="1:16" s="2" customFormat="1" ht="11.25">
      <c r="A63" s="13" t="s">
        <v>56</v>
      </c>
      <c r="B63" s="4"/>
      <c r="C63" s="4"/>
      <c r="D63" s="4"/>
      <c r="E63" s="4"/>
      <c r="F63" s="17"/>
      <c r="K63" s="18"/>
      <c r="L63" s="4"/>
      <c r="M63" s="4"/>
      <c r="N63" s="4"/>
      <c r="O63" s="4"/>
      <c r="P63" s="17"/>
    </row>
    <row r="64" spans="1:16" s="2" customFormat="1" ht="11.25">
      <c r="A64" s="2" t="s">
        <v>57</v>
      </c>
      <c r="B64" s="4"/>
      <c r="C64" s="4">
        <v>52</v>
      </c>
      <c r="D64" s="19">
        <v>50</v>
      </c>
      <c r="E64" s="19">
        <v>50</v>
      </c>
      <c r="F64" s="17">
        <v>50</v>
      </c>
      <c r="G64" s="2">
        <v>50</v>
      </c>
      <c r="H64" s="2">
        <v>52</v>
      </c>
      <c r="I64" s="2">
        <v>56</v>
      </c>
      <c r="J64" s="2">
        <v>55</v>
      </c>
      <c r="K64" s="18">
        <v>57</v>
      </c>
      <c r="L64" s="4">
        <v>58</v>
      </c>
      <c r="M64" s="4">
        <v>54</v>
      </c>
      <c r="N64" s="4">
        <v>54</v>
      </c>
      <c r="O64" s="4">
        <v>55</v>
      </c>
      <c r="P64" s="17">
        <v>43</v>
      </c>
    </row>
    <row r="65" spans="1:16" s="2" customFormat="1" ht="11.25">
      <c r="A65" s="2" t="s">
        <v>58</v>
      </c>
      <c r="B65" s="4"/>
      <c r="C65" s="4">
        <v>3</v>
      </c>
      <c r="D65" s="19">
        <v>3</v>
      </c>
      <c r="E65" s="19">
        <v>3</v>
      </c>
      <c r="F65" s="17">
        <v>3</v>
      </c>
      <c r="G65" s="2">
        <v>3</v>
      </c>
      <c r="H65" s="2">
        <v>3</v>
      </c>
      <c r="I65" s="2">
        <v>3</v>
      </c>
      <c r="J65" s="2">
        <v>3</v>
      </c>
      <c r="K65" s="18">
        <v>3</v>
      </c>
      <c r="L65" s="4">
        <v>3</v>
      </c>
      <c r="M65" s="4">
        <v>3</v>
      </c>
      <c r="N65" s="4">
        <v>3</v>
      </c>
      <c r="O65" s="4">
        <v>3</v>
      </c>
      <c r="P65" s="17">
        <v>3</v>
      </c>
    </row>
    <row r="66" spans="1:16" s="2" customFormat="1" ht="11.25">
      <c r="A66" s="2" t="s">
        <v>59</v>
      </c>
      <c r="B66" s="4"/>
      <c r="C66" s="4">
        <f aca="true" t="shared" si="24" ref="C66:P66">C12/C64</f>
        <v>752.9038461538462</v>
      </c>
      <c r="D66" s="4">
        <f t="shared" si="24"/>
        <v>696.04</v>
      </c>
      <c r="E66" s="4">
        <f t="shared" si="24"/>
        <v>733.76</v>
      </c>
      <c r="F66" s="17">
        <f t="shared" si="24"/>
        <v>815.96</v>
      </c>
      <c r="G66" s="2">
        <f t="shared" si="24"/>
        <v>808.82</v>
      </c>
      <c r="H66" s="2">
        <f t="shared" si="24"/>
        <v>787.6346153846154</v>
      </c>
      <c r="I66" s="2">
        <f t="shared" si="24"/>
        <v>747.375</v>
      </c>
      <c r="J66" s="2">
        <f t="shared" si="24"/>
        <v>760.7636363636364</v>
      </c>
      <c r="K66" s="18">
        <f t="shared" si="24"/>
        <v>702.140350877193</v>
      </c>
      <c r="L66" s="4">
        <f t="shared" si="24"/>
        <v>662.4655172413793</v>
      </c>
      <c r="M66" s="4">
        <f t="shared" si="24"/>
        <v>865.7037037037037</v>
      </c>
      <c r="N66" s="4">
        <f t="shared" si="24"/>
        <v>919.7962962962963</v>
      </c>
      <c r="O66" s="4">
        <f t="shared" si="24"/>
        <v>912.4909090909091</v>
      </c>
      <c r="P66" s="17">
        <f t="shared" si="24"/>
        <v>1362.9302325581396</v>
      </c>
    </row>
    <row r="67" spans="1:16" s="2" customFormat="1" ht="11.25">
      <c r="A67" s="2" t="s">
        <v>60</v>
      </c>
      <c r="B67" s="4"/>
      <c r="C67" s="4">
        <f aca="true" t="shared" si="25" ref="C67:P67">C16/C64</f>
        <v>1006.25</v>
      </c>
      <c r="D67" s="4">
        <f t="shared" si="25"/>
        <v>1090.88</v>
      </c>
      <c r="E67" s="4">
        <f t="shared" si="25"/>
        <v>1123.8</v>
      </c>
      <c r="F67" s="17">
        <f t="shared" si="25"/>
        <v>1315.5</v>
      </c>
      <c r="G67" s="2">
        <f t="shared" si="25"/>
        <v>1433.04</v>
      </c>
      <c r="H67" s="2">
        <f t="shared" si="25"/>
        <v>1299.7692307692307</v>
      </c>
      <c r="I67" s="2">
        <f t="shared" si="25"/>
        <v>1244.9285714285713</v>
      </c>
      <c r="J67" s="2">
        <f t="shared" si="25"/>
        <v>1342.509090909091</v>
      </c>
      <c r="K67" s="18">
        <f t="shared" si="25"/>
        <v>1371.9649122807018</v>
      </c>
      <c r="L67" s="4">
        <f t="shared" si="25"/>
        <v>1459.9137931034484</v>
      </c>
      <c r="M67" s="4">
        <f t="shared" si="25"/>
        <v>1651</v>
      </c>
      <c r="N67" s="4">
        <f t="shared" si="25"/>
        <v>1414.851851851852</v>
      </c>
      <c r="O67" s="4">
        <f t="shared" si="25"/>
        <v>1559.6363636363637</v>
      </c>
      <c r="P67" s="17">
        <f t="shared" si="25"/>
        <v>1810.5116279069769</v>
      </c>
    </row>
    <row r="68" spans="1:16" s="2" customFormat="1" ht="11.25">
      <c r="A68" s="3" t="s">
        <v>61</v>
      </c>
      <c r="B68" s="3"/>
      <c r="C68" s="3">
        <f aca="true" t="shared" si="26" ref="C68:P68">C40/C64</f>
        <v>9.096153846153847</v>
      </c>
      <c r="D68" s="3">
        <f t="shared" si="26"/>
        <v>6.84</v>
      </c>
      <c r="E68" s="3">
        <f t="shared" si="26"/>
        <v>4.4</v>
      </c>
      <c r="F68" s="21">
        <f t="shared" si="26"/>
        <v>4.36</v>
      </c>
      <c r="G68" s="3">
        <f t="shared" si="26"/>
        <v>18.6</v>
      </c>
      <c r="H68" s="3">
        <f t="shared" si="26"/>
        <v>18.365384615384617</v>
      </c>
      <c r="I68" s="3">
        <f t="shared" si="26"/>
        <v>12.678571428571429</v>
      </c>
      <c r="J68" s="3">
        <f t="shared" si="26"/>
        <v>3.4363636363636365</v>
      </c>
      <c r="K68" s="22">
        <f t="shared" si="26"/>
        <v>10.964912280701755</v>
      </c>
      <c r="L68" s="3">
        <f t="shared" si="26"/>
        <v>10.5</v>
      </c>
      <c r="M68" s="3">
        <f t="shared" si="26"/>
        <v>8.25925925925926</v>
      </c>
      <c r="N68" s="3">
        <f t="shared" si="26"/>
        <v>4.703703703703703</v>
      </c>
      <c r="O68" s="3">
        <f t="shared" si="26"/>
        <v>18.618181818181817</v>
      </c>
      <c r="P68" s="21">
        <f t="shared" si="26"/>
        <v>28.27906976744186</v>
      </c>
    </row>
    <row r="69" spans="1:16" s="2" customFormat="1" ht="11.25">
      <c r="A69" s="13" t="s">
        <v>62</v>
      </c>
      <c r="B69" s="4"/>
      <c r="C69" s="4"/>
      <c r="D69" s="4"/>
      <c r="E69" s="4"/>
      <c r="F69" s="17"/>
      <c r="K69" s="18"/>
      <c r="L69" s="4"/>
      <c r="M69" s="4"/>
      <c r="N69" s="4"/>
      <c r="O69" s="4"/>
      <c r="P69" s="17"/>
    </row>
    <row r="70" spans="1:16" s="2" customFormat="1" ht="11.25">
      <c r="A70" s="2" t="s">
        <v>63</v>
      </c>
      <c r="B70" s="4"/>
      <c r="C70" s="25">
        <f aca="true" t="shared" si="27" ref="C70:K70">(C10-G10)/G10</f>
        <v>-0.2340678005537588</v>
      </c>
      <c r="D70" s="23">
        <f t="shared" si="27"/>
        <v>-0.175324910400753</v>
      </c>
      <c r="E70" s="23">
        <f t="shared" si="27"/>
        <v>-0.16825682426193803</v>
      </c>
      <c r="F70" s="24">
        <f t="shared" si="27"/>
        <v>-0.09391079156302178</v>
      </c>
      <c r="G70" s="25">
        <f t="shared" si="27"/>
        <v>-0.06693152707220702</v>
      </c>
      <c r="H70" s="25">
        <f t="shared" si="27"/>
        <v>-0.16121947022682875</v>
      </c>
      <c r="I70" s="25">
        <f t="shared" si="27"/>
        <v>-0.20233790023322348</v>
      </c>
      <c r="J70" s="25">
        <f t="shared" si="27"/>
        <v>-0.04376018246985989</v>
      </c>
      <c r="K70" s="26">
        <f t="shared" si="27"/>
        <v>-0.07939521730006295</v>
      </c>
      <c r="L70" s="23">
        <f>(L10-93884)/93884</f>
        <v>0.05233053555451408</v>
      </c>
      <c r="M70" s="23">
        <f>(M10-100422)/100422</f>
        <v>0.05461950568600506</v>
      </c>
      <c r="N70" s="23">
        <f>(N10-89105)/89105</f>
        <v>0.03327534930699736</v>
      </c>
      <c r="O70" s="4">
        <f>(O10-P10)/P10</f>
        <v>0.10438026288199005</v>
      </c>
      <c r="P70" s="17">
        <f>(P10-77726)/77726</f>
        <v>0.16577464426318092</v>
      </c>
    </row>
    <row r="71" spans="1:16" s="2" customFormat="1" ht="11.25">
      <c r="A71" s="2" t="s">
        <v>64</v>
      </c>
      <c r="B71" s="4"/>
      <c r="C71" s="25">
        <f aca="true" t="shared" si="28" ref="C71:I73">(C12-G12)/G12</f>
        <v>-0.03189832101085532</v>
      </c>
      <c r="D71" s="23">
        <f t="shared" si="28"/>
        <v>-0.15027956149132016</v>
      </c>
      <c r="E71" s="23">
        <f t="shared" si="28"/>
        <v>-0.12340811889231357</v>
      </c>
      <c r="F71" s="24">
        <f t="shared" si="28"/>
        <v>-0.02495100616605325</v>
      </c>
      <c r="G71" s="25">
        <f t="shared" si="28"/>
        <v>0.01046924191694568</v>
      </c>
      <c r="H71" s="25">
        <f t="shared" si="28"/>
        <v>0.06595008198214611</v>
      </c>
      <c r="I71" s="25">
        <f t="shared" si="28"/>
        <v>-0.10471036194061778</v>
      </c>
      <c r="J71" s="25">
        <f>J12/N12-1</f>
        <v>-0.15758320078922472</v>
      </c>
      <c r="K71" s="26">
        <f>K12/O12-1</f>
        <v>-0.20254249108334832</v>
      </c>
      <c r="L71" s="23">
        <f>L12/59108-1</f>
        <v>-0.3499526290857413</v>
      </c>
      <c r="M71" s="23">
        <f>M12/63532-1</f>
        <v>-0.26418182962916326</v>
      </c>
      <c r="N71" s="23">
        <f>N12/56897-1</f>
        <v>-0.12703657486334952</v>
      </c>
      <c r="O71" s="4">
        <f>O12/P12-1</f>
        <v>-0.14365423335494665</v>
      </c>
      <c r="P71" s="17">
        <f>P12/48921-1</f>
        <v>0.19797224095991495</v>
      </c>
    </row>
    <row r="72" spans="2:16" s="2" customFormat="1" ht="11.25">
      <c r="B72" s="4" t="s">
        <v>15</v>
      </c>
      <c r="C72" s="25">
        <f t="shared" si="28"/>
        <v>-0.031207519884309472</v>
      </c>
      <c r="D72" s="23">
        <f t="shared" si="28"/>
        <v>-0.17190852625635233</v>
      </c>
      <c r="E72" s="23">
        <f t="shared" si="28"/>
        <v>-0.14218453151243152</v>
      </c>
      <c r="F72" s="24">
        <f t="shared" si="28"/>
        <v>-0.031198095449008968</v>
      </c>
      <c r="G72" s="25">
        <f t="shared" si="28"/>
        <v>0.011083167621944086</v>
      </c>
      <c r="H72" s="25">
        <f t="shared" si="28"/>
        <v>0.14490739244270615</v>
      </c>
      <c r="I72" s="25">
        <f t="shared" si="28"/>
        <v>-0.02334149030575201</v>
      </c>
      <c r="J72" s="25">
        <f>(J13-N13)/N13</f>
        <v>-0.07722175390195928</v>
      </c>
      <c r="K72" s="26">
        <f>(K13-O13)/O13</f>
        <v>-0.13787974284633808</v>
      </c>
      <c r="L72" s="23">
        <f>(L13-49273)/49273</f>
        <v>-0.3721307815639397</v>
      </c>
      <c r="M72" s="23">
        <f>(M13-50307)/50307</f>
        <v>-0.26079869600651995</v>
      </c>
      <c r="N72" s="23">
        <f>(N13-49078)/49078</f>
        <v>-0.20235135906108642</v>
      </c>
      <c r="O72" s="4">
        <f>(O13-P13)/P13</f>
        <v>-0.14480067268924776</v>
      </c>
      <c r="P72" s="17">
        <f>(P13-39915)/39915</f>
        <v>0.16199423775522986</v>
      </c>
    </row>
    <row r="73" spans="2:16" s="2" customFormat="1" ht="11.25">
      <c r="B73" s="4" t="s">
        <v>16</v>
      </c>
      <c r="C73" s="31">
        <f t="shared" si="28"/>
        <v>-0.03596999659052165</v>
      </c>
      <c r="D73" s="31">
        <f t="shared" si="28"/>
        <v>-0.011919812172656674</v>
      </c>
      <c r="E73" s="31">
        <f t="shared" si="28"/>
        <v>-0.00018070112034694616</v>
      </c>
      <c r="F73" s="24">
        <f t="shared" si="28"/>
        <v>0.014515564882826163</v>
      </c>
      <c r="G73" s="23">
        <f t="shared" si="28"/>
        <v>0.006865774116031583</v>
      </c>
      <c r="H73" s="25">
        <f t="shared" si="28"/>
        <v>-0.26035265829548493</v>
      </c>
      <c r="I73" s="25">
        <f t="shared" si="28"/>
        <v>-0.4211902520656835</v>
      </c>
      <c r="J73" s="25">
        <f>(J14-N14)/N14</f>
        <v>-0.45656719254894507</v>
      </c>
      <c r="K73" s="26">
        <f>(K14-O14)/O14</f>
        <v>-0.44630298422353165</v>
      </c>
      <c r="L73" s="23">
        <f>(L14-9835)/9835</f>
        <v>-0.23884087442806304</v>
      </c>
      <c r="M73" s="23">
        <f>(M14-13225)/13225</f>
        <v>-0.2770510396975425</v>
      </c>
      <c r="N73" s="23">
        <f>(N14-7818)/7818</f>
        <v>0.34586850856996676</v>
      </c>
      <c r="O73" s="4">
        <f>(O14-P14)/P14</f>
        <v>-0.1393047034764826</v>
      </c>
      <c r="P73" s="17">
        <f>(P14-9006)/9006</f>
        <v>0.3574283810792805</v>
      </c>
    </row>
    <row r="74" spans="1:16" s="2" customFormat="1" ht="11.25">
      <c r="A74" s="2" t="s">
        <v>65</v>
      </c>
      <c r="B74" s="4"/>
      <c r="C74" s="25">
        <f aca="true" t="shared" si="29" ref="C74:I75">(C16-G16)/G16</f>
        <v>-0.2697342711996874</v>
      </c>
      <c r="D74" s="31">
        <f t="shared" si="29"/>
        <v>-0.19299283896549682</v>
      </c>
      <c r="E74" s="23">
        <f t="shared" si="29"/>
        <v>-0.1940157209248953</v>
      </c>
      <c r="F74" s="24">
        <f t="shared" si="29"/>
        <v>-0.1091985156694385</v>
      </c>
      <c r="G74" s="25">
        <f t="shared" si="29"/>
        <v>-0.08375744865860209</v>
      </c>
      <c r="H74" s="25">
        <f t="shared" si="29"/>
        <v>-0.20179509890758784</v>
      </c>
      <c r="I74" s="25">
        <f t="shared" si="29"/>
        <v>-0.21802723377526528</v>
      </c>
      <c r="J74" s="25">
        <f>J16/N16-1</f>
        <v>-0.03355933090756791</v>
      </c>
      <c r="K74" s="26">
        <f>K16/O16-1</f>
        <v>-0.08834227092562363</v>
      </c>
      <c r="L74" s="23">
        <f>L16/78888-1</f>
        <v>0.07335716458776997</v>
      </c>
      <c r="M74" s="23">
        <f>M16/86526-1</f>
        <v>0.030372373621801563</v>
      </c>
      <c r="N74" s="23">
        <f>N16/75112-1</f>
        <v>0.01717435296623715</v>
      </c>
      <c r="O74" s="4">
        <f>O16/P16-1</f>
        <v>0.10183424960180854</v>
      </c>
      <c r="P74" s="17">
        <f>P16/69374-1</f>
        <v>0.12220716695015432</v>
      </c>
    </row>
    <row r="75" spans="2:16" s="2" customFormat="1" ht="11.25">
      <c r="B75" s="4" t="s">
        <v>15</v>
      </c>
      <c r="C75" s="25">
        <f t="shared" si="29"/>
        <v>-0.215078279373765</v>
      </c>
      <c r="D75" s="23">
        <f t="shared" si="29"/>
        <v>-0.13328464813066634</v>
      </c>
      <c r="E75" s="23">
        <f t="shared" si="29"/>
        <v>-0.12737440085212143</v>
      </c>
      <c r="F75" s="24">
        <f t="shared" si="29"/>
        <v>-0.06097560975609756</v>
      </c>
      <c r="G75" s="25">
        <f t="shared" si="29"/>
        <v>0.053745261696712995</v>
      </c>
      <c r="H75" s="25">
        <f t="shared" si="29"/>
        <v>0.06853564767233832</v>
      </c>
      <c r="I75" s="25">
        <f t="shared" si="29"/>
        <v>-0.04012950498423788</v>
      </c>
      <c r="J75" s="25">
        <f>(J17-N17)/N17</f>
        <v>0.02966704610130905</v>
      </c>
      <c r="K75" s="26">
        <f>(K17-O17)/O17</f>
        <v>-0.07812576903515824</v>
      </c>
      <c r="L75" s="23">
        <f>(L17-55668)/55668</f>
        <v>-0.05615434360853632</v>
      </c>
      <c r="M75" s="23">
        <f>(M17-54976)/54976</f>
        <v>0.06746580325960419</v>
      </c>
      <c r="N75" s="23">
        <f>(N17-49959)/49959</f>
        <v>0.1254028303208631</v>
      </c>
      <c r="O75" s="4">
        <f>(O17-P17)/P17</f>
        <v>0.17354974104237664</v>
      </c>
      <c r="P75" s="17">
        <f>(P17-42299)/42299</f>
        <v>0.2279013688266862</v>
      </c>
    </row>
    <row r="76" spans="2:16" s="2" customFormat="1" ht="11.25">
      <c r="B76" s="4" t="s">
        <v>16</v>
      </c>
      <c r="C76" s="25">
        <f aca="true" t="shared" si="30" ref="C76:K76">(C21-G21)/G21</f>
        <v>-0.5298609436540471</v>
      </c>
      <c r="D76" s="23">
        <f t="shared" si="30"/>
        <v>-0.48588903451288773</v>
      </c>
      <c r="E76" s="23">
        <f t="shared" si="30"/>
        <v>-0.4744509188704617</v>
      </c>
      <c r="F76" s="24">
        <f t="shared" si="30"/>
        <v>-0.2842719177223128</v>
      </c>
      <c r="G76" s="25">
        <f t="shared" si="30"/>
        <v>-0.43478260869565216</v>
      </c>
      <c r="H76" s="25">
        <f t="shared" si="30"/>
        <v>-0.6438241060591915</v>
      </c>
      <c r="I76" s="25">
        <f t="shared" si="30"/>
        <v>-0.5606682201581936</v>
      </c>
      <c r="J76" s="25">
        <f t="shared" si="30"/>
        <v>-0.2097333729804738</v>
      </c>
      <c r="K76" s="26">
        <f t="shared" si="30"/>
        <v>-0.11342490031014621</v>
      </c>
      <c r="L76" s="23">
        <f>(L21-23219)/23219</f>
        <v>0.38390972910116716</v>
      </c>
      <c r="M76" s="23">
        <f>(M21-31551)/31551</f>
        <v>-0.034293683243003394</v>
      </c>
      <c r="N76" s="23">
        <f>(N21-25152)/25152</f>
        <v>-0.19775763358778625</v>
      </c>
      <c r="O76" s="4">
        <f>(O21-P21)/P21</f>
        <v>-0.04190946629105082</v>
      </c>
      <c r="P76" s="17">
        <f>(P21-27075)/27075</f>
        <v>-0.04291782086795937</v>
      </c>
    </row>
    <row r="77" spans="1:16" s="2" customFormat="1" ht="11.25">
      <c r="A77" s="2" t="s">
        <v>66</v>
      </c>
      <c r="C77" s="25">
        <f aca="true" t="shared" si="31" ref="C77:I77">C25/G25-1</f>
        <v>-0.025518618175505603</v>
      </c>
      <c r="D77" s="23">
        <f t="shared" si="31"/>
        <v>-0.022416902860087573</v>
      </c>
      <c r="E77" s="23">
        <f t="shared" si="31"/>
        <v>0.021935597086952807</v>
      </c>
      <c r="F77" s="24">
        <f t="shared" si="31"/>
        <v>0.07228360957642721</v>
      </c>
      <c r="G77" s="25">
        <f t="shared" si="31"/>
        <v>0.07965514009933461</v>
      </c>
      <c r="H77" s="25">
        <f t="shared" si="31"/>
        <v>0.023920499516313365</v>
      </c>
      <c r="I77" s="25">
        <f t="shared" si="31"/>
        <v>0.017225990717600892</v>
      </c>
      <c r="J77" s="25">
        <f>(J25-N25)/N25</f>
        <v>-0.049785633038761046</v>
      </c>
      <c r="K77" s="26">
        <f>(K25-O25)/O25</f>
        <v>-0.04612496647894878</v>
      </c>
      <c r="L77" s="23">
        <f>(L25-10991)/10991</f>
        <v>0.03457374215267037</v>
      </c>
      <c r="M77" s="23">
        <f>(M25-10692)/10692</f>
        <v>0.04788627010849233</v>
      </c>
      <c r="N77" s="23">
        <f>(N25-10358)/10358</f>
        <v>0.10339833944776984</v>
      </c>
      <c r="O77" s="4">
        <f>(O25-P25)/P25</f>
        <v>0.11357754330081625</v>
      </c>
      <c r="P77" s="17">
        <f>(P25-5872)/5872</f>
        <v>0.7108310626702997</v>
      </c>
    </row>
    <row r="78" spans="1:16" s="2" customFormat="1" ht="11.25">
      <c r="A78" s="3" t="s">
        <v>67</v>
      </c>
      <c r="B78" s="3"/>
      <c r="C78" s="27">
        <f aca="true" t="shared" si="32" ref="C78:I78">(C40-G40)/G40</f>
        <v>-0.4913978494623656</v>
      </c>
      <c r="D78" s="27">
        <f t="shared" si="32"/>
        <v>-0.6418848167539267</v>
      </c>
      <c r="E78" s="27">
        <f t="shared" si="32"/>
        <v>-0.6901408450704225</v>
      </c>
      <c r="F78" s="28">
        <f t="shared" si="32"/>
        <v>0.15343915343915343</v>
      </c>
      <c r="G78" s="27">
        <f t="shared" si="32"/>
        <v>0.488</v>
      </c>
      <c r="H78" s="27">
        <f t="shared" si="32"/>
        <v>0.5681444991789819</v>
      </c>
      <c r="I78" s="27">
        <f t="shared" si="32"/>
        <v>0.5919282511210763</v>
      </c>
      <c r="J78" s="27">
        <f>J40/N40-1</f>
        <v>-0.2559055118110236</v>
      </c>
      <c r="K78" s="29">
        <f>K40/O40-1</f>
        <v>-0.3896484375</v>
      </c>
      <c r="L78" s="27">
        <f>L40/828-1</f>
        <v>-0.26449275362318836</v>
      </c>
      <c r="M78" s="27">
        <f>M40/644-1</f>
        <v>-0.3074534161490683</v>
      </c>
      <c r="N78" s="27">
        <f>N40/311-1</f>
        <v>-0.18327974276527326</v>
      </c>
      <c r="O78" s="3">
        <f>(O40-P40)/P40</f>
        <v>-0.15789473684210525</v>
      </c>
      <c r="P78" s="21">
        <f>(P40-1003)/1003</f>
        <v>0.2123629112662014</v>
      </c>
    </row>
    <row r="79" s="2" customFormat="1" ht="11.25"/>
    <row r="80" s="2" customFormat="1" ht="11.25"/>
    <row r="81" s="2" customFormat="1" ht="11.25"/>
    <row r="82" s="2" customFormat="1" ht="11.25"/>
    <row r="83" s="2" customFormat="1" ht="11.25"/>
    <row r="84" s="2" customFormat="1" ht="11.25"/>
    <row r="85" s="2" customFormat="1" ht="11.25"/>
    <row r="86" s="2" customFormat="1" ht="11.25"/>
    <row r="87" s="2" customFormat="1" ht="11.25"/>
    <row r="88" s="2" customFormat="1" ht="11.25"/>
    <row r="89" s="2" customFormat="1" ht="11.25"/>
    <row r="90" s="2" customFormat="1" ht="11.25"/>
    <row r="91" s="2" customFormat="1" ht="11.25"/>
    <row r="92" s="2" customFormat="1" ht="11.25"/>
    <row r="93" s="2" customFormat="1" ht="11.25"/>
    <row r="94" s="2" customFormat="1" ht="11.25"/>
  </sheetData>
  <sheetProtection/>
  <mergeCells count="4">
    <mergeCell ref="K7:N7"/>
    <mergeCell ref="O7:P7"/>
    <mergeCell ref="G7:J7"/>
    <mergeCell ref="C7:F7"/>
  </mergeCells>
  <printOptions horizontalCentered="1" verticalCentered="1"/>
  <pageMargins left="0.75" right="0.75" top="1" bottom="1" header="0" footer="0"/>
  <pageSetup horizontalDpi="300" verticalDpi="3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2017-06-16T16:05:19Z</dcterms:created>
  <dcterms:modified xsi:type="dcterms:W3CDTF">2017-06-16T16:05:24Z</dcterms:modified>
  <cp:category/>
  <cp:version/>
  <cp:contentType/>
  <cp:contentStatus/>
</cp:coreProperties>
</file>