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Istmo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<sst xmlns="http://schemas.openxmlformats.org/spreadsheetml/2006/main" count="89" uniqueCount="68">
  <si>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 18-13</t>
  </si>
  <si>
    <t>PRIMER BANCO DEL ISTMO, S.A.</t>
  </si>
  <si>
    <t>ESTADISTICA FINANCIERA.  TRIMESTRES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</si>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</sst>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6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"/>
    <numFmt numFmtId="208" formatCode="_ * #,##0.0_ ;_ * \-#,##0.0_ ;_ * &quot;-&quot;??_ ;_ @_ "/>
    <numFmt numFmtId="209" formatCode="_ * #,##0_ ;_ * \-#,##0_ ;_ * &quot;-&quot;??_ ;_ @_ "/>
    <numFmt numFmtId="210" formatCode="0.000%"/>
    <numFmt numFmtId="211" formatCode="0.0000%"/>
    <numFmt numFmtId="212" formatCode="0.00000%"/>
    <numFmt numFmtId="213" formatCode="0.000000%"/>
    <numFmt numFmtId="214" formatCode="_(* #,##0.0000_);_(* \(#,##0.0000\);_(* &quot;-&quot;??_);_(@_)"/>
    <numFmt numFmtId="215" formatCode="_ * #,##0.0_ ;_ * \-#,##0.0_ ;_ * &quot;-&quot;?_ ;_ @_ "/>
    <numFmt numFmtId="216" formatCode="#,##0_ ;\-#,##0\ "/>
    <numFmt numFmtId="217" formatCode="#,##0.00000_ ;\-#,##0.00000\ "/>
    <numFmt numFmtId="218" formatCode="#,##0.0000_ ;\-#,##0.0000\ "/>
    <numFmt numFmtId="219" formatCode="#,##0.000_ ;\-#,##0.000\ "/>
    <numFmt numFmtId="220" formatCode="#,##0.00_ ;\-#,##0.00\ "/>
    <numFmt numFmtId="221" formatCode="#,##0.0_ ;\-#,##0.0\ "/>
    <numFmt numFmtId="222" formatCode="_-* #,##0.0\ _€_-;\-* #,##0.0\ _€_-;_-* &quot;-&quot;??\ _€_-;_-@_-"/>
    <numFmt numFmtId="223" formatCode="_-* #,##0\ _€_-;\-* #,##0\ _€_-;_-* &quot;-&quot;??\ _€_-;_-@_-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95" fontId="1" fillId="0" borderId="0" xfId="46" applyNumberFormat="1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195" fontId="3" fillId="0" borderId="0" xfId="46" applyNumberFormat="1" applyFont="1" applyBorder="1" applyAlignment="1">
      <alignment/>
    </xf>
    <xf numFmtId="49" fontId="3" fillId="0" borderId="11" xfId="46" applyNumberFormat="1" applyFont="1" applyBorder="1" applyAlignment="1">
      <alignment/>
    </xf>
    <xf numFmtId="49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 horizontal="center"/>
    </xf>
    <xf numFmtId="195" fontId="3" fillId="0" borderId="12" xfId="46" applyNumberFormat="1" applyFont="1" applyBorder="1" applyAlignment="1">
      <alignment horizontal="center"/>
    </xf>
    <xf numFmtId="195" fontId="3" fillId="0" borderId="13" xfId="46" applyNumberFormat="1" applyFont="1" applyBorder="1" applyAlignment="1">
      <alignment horizontal="center"/>
    </xf>
    <xf numFmtId="195" fontId="3" fillId="0" borderId="14" xfId="46" applyNumberFormat="1" applyFont="1" applyBorder="1" applyAlignment="1">
      <alignment horizontal="center"/>
    </xf>
    <xf numFmtId="195" fontId="3" fillId="0" borderId="10" xfId="46" applyNumberFormat="1" applyFont="1" applyBorder="1" applyAlignment="1">
      <alignment horizontal="right"/>
    </xf>
    <xf numFmtId="195" fontId="3" fillId="0" borderId="15" xfId="46" applyNumberFormat="1" applyFont="1" applyBorder="1" applyAlignment="1">
      <alignment horizontal="right"/>
    </xf>
    <xf numFmtId="195" fontId="2" fillId="0" borderId="0" xfId="46" applyNumberFormat="1" applyFont="1" applyAlignment="1">
      <alignment/>
    </xf>
    <xf numFmtId="195" fontId="2" fillId="0" borderId="0" xfId="46" applyNumberFormat="1" applyFont="1" applyBorder="1" applyAlignment="1">
      <alignment/>
    </xf>
    <xf numFmtId="195" fontId="2" fillId="0" borderId="16" xfId="46" applyNumberFormat="1" applyFont="1" applyBorder="1" applyAlignment="1">
      <alignment/>
    </xf>
    <xf numFmtId="195" fontId="2" fillId="0" borderId="17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7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195" fontId="3" fillId="0" borderId="16" xfId="46" applyNumberFormat="1" applyFont="1" applyFill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6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7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0" fontId="3" fillId="0" borderId="11" xfId="52" applyNumberFormat="1" applyFont="1" applyBorder="1" applyAlignment="1">
      <alignment/>
    </xf>
    <xf numFmtId="195" fontId="3" fillId="0" borderId="0" xfId="46" applyNumberFormat="1" applyFont="1" applyFill="1" applyBorder="1" applyAlignment="1">
      <alignment/>
    </xf>
    <xf numFmtId="10" fontId="3" fillId="0" borderId="0" xfId="52" applyNumberFormat="1" applyFont="1" applyFill="1" applyBorder="1" applyAlignment="1">
      <alignment/>
    </xf>
    <xf numFmtId="195" fontId="2" fillId="0" borderId="0" xfId="46" applyNumberFormat="1" applyFont="1" applyAlignment="1">
      <alignment horizontal="center"/>
    </xf>
    <xf numFmtId="195" fontId="3" fillId="0" borderId="0" xfId="46" applyNumberFormat="1" applyFont="1" applyAlignment="1">
      <alignment horizontal="center"/>
    </xf>
    <xf numFmtId="49" fontId="2" fillId="0" borderId="12" xfId="46" applyNumberFormat="1" applyFont="1" applyBorder="1" applyAlignment="1">
      <alignment horizontal="center"/>
    </xf>
    <xf numFmtId="49" fontId="2" fillId="0" borderId="13" xfId="46" applyNumberFormat="1" applyFont="1" applyBorder="1" applyAlignment="1">
      <alignment horizontal="center"/>
    </xf>
    <xf numFmtId="49" fontId="2" fillId="0" borderId="18" xfId="46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26.7109375" style="1" customWidth="1"/>
    <col min="3" max="4" width="9.140625" style="1" customWidth="1"/>
    <col min="5" max="5" width="9.00390625" style="1" customWidth="1"/>
    <col min="6" max="6" width="9.140625" style="1" customWidth="1"/>
    <col min="7" max="7" width="8.7109375" style="1" customWidth="1"/>
    <col min="8" max="8" width="9.00390625" style="1" customWidth="1"/>
    <col min="9" max="9" width="8.7109375" style="1" customWidth="1"/>
    <col min="10" max="11" width="9.00390625" style="1" customWidth="1"/>
    <col min="12" max="12" width="8.7109375" style="1" customWidth="1"/>
    <col min="13" max="13" width="8.8515625" style="1" customWidth="1"/>
    <col min="14" max="14" width="8.7109375" style="1" customWidth="1"/>
    <col min="15" max="15" width="7.140625" style="1" hidden="1" customWidth="1"/>
    <col min="16" max="16" width="0.2890625" style="1" hidden="1" customWidth="1"/>
    <col min="17" max="16384" width="11.421875" style="1" customWidth="1"/>
  </cols>
  <sheetData>
    <row r="1" spans="2:16" s="2" customFormat="1" ht="11.25">
      <c r="B1" s="32"/>
      <c r="C1" s="32"/>
      <c r="D1" s="32"/>
      <c r="E1" s="32"/>
      <c r="F1" s="32"/>
      <c r="G1" s="32" t="s">
        <v>0</v>
      </c>
      <c r="H1" s="32"/>
      <c r="I1" s="32"/>
      <c r="J1" s="32"/>
      <c r="K1" s="32"/>
      <c r="L1" s="32"/>
      <c r="M1" s="32"/>
      <c r="N1" s="32"/>
      <c r="O1" s="32"/>
      <c r="P1" s="32"/>
    </row>
    <row r="2" spans="2:16" s="2" customFormat="1" ht="11.25">
      <c r="B2" s="32"/>
      <c r="C2" s="32"/>
      <c r="D2" s="32"/>
      <c r="E2" s="32"/>
      <c r="F2" s="32"/>
      <c r="G2" s="32" t="s">
        <v>1</v>
      </c>
      <c r="H2" s="32"/>
      <c r="I2" s="32"/>
      <c r="J2" s="32"/>
      <c r="K2" s="32"/>
      <c r="L2" s="32"/>
      <c r="M2" s="32"/>
      <c r="N2" s="32"/>
      <c r="O2" s="32"/>
      <c r="P2" s="32"/>
    </row>
    <row r="3" spans="2:16" s="2" customFormat="1" ht="11.25">
      <c r="B3" s="32"/>
      <c r="C3" s="32"/>
      <c r="D3" s="32"/>
      <c r="E3" s="32"/>
      <c r="F3" s="32"/>
      <c r="G3" s="32" t="s">
        <v>2</v>
      </c>
      <c r="H3" s="32"/>
      <c r="I3" s="32"/>
      <c r="J3" s="32"/>
      <c r="K3" s="32"/>
      <c r="L3" s="32"/>
      <c r="M3" s="32"/>
      <c r="N3" s="32"/>
      <c r="O3" s="32"/>
      <c r="P3" s="32"/>
    </row>
    <row r="4" spans="2:16" s="2" customFormat="1" ht="11.25">
      <c r="B4" s="33"/>
      <c r="C4" s="33"/>
      <c r="D4" s="33"/>
      <c r="E4" s="33"/>
      <c r="F4" s="33"/>
      <c r="G4" s="33" t="s">
        <v>3</v>
      </c>
      <c r="H4" s="33"/>
      <c r="I4" s="33"/>
      <c r="J4" s="33"/>
      <c r="K4" s="33"/>
      <c r="L4" s="33"/>
      <c r="M4" s="33"/>
      <c r="N4" s="33"/>
      <c r="O4" s="33"/>
      <c r="P4" s="33"/>
    </row>
    <row r="5" spans="2:16" s="2" customFormat="1" ht="11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s="2" customFormat="1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s="6" customFormat="1" ht="11.25">
      <c r="A7" s="5"/>
      <c r="B7" s="5"/>
      <c r="C7" s="34">
        <v>2002</v>
      </c>
      <c r="D7" s="34"/>
      <c r="E7" s="34"/>
      <c r="F7" s="35"/>
      <c r="G7" s="36">
        <v>2001</v>
      </c>
      <c r="H7" s="34"/>
      <c r="I7" s="34"/>
      <c r="J7" s="35"/>
      <c r="K7" s="34">
        <v>2000</v>
      </c>
      <c r="L7" s="34"/>
      <c r="M7" s="34"/>
      <c r="N7" s="34"/>
      <c r="O7" s="34" t="s">
        <v>4</v>
      </c>
      <c r="P7" s="35"/>
    </row>
    <row r="8" spans="1:16" s="2" customFormat="1" ht="11.25">
      <c r="A8" s="7"/>
      <c r="B8" s="7"/>
      <c r="C8" s="7" t="s">
        <v>5</v>
      </c>
      <c r="D8" s="7" t="s">
        <v>6</v>
      </c>
      <c r="E8" s="8" t="s">
        <v>7</v>
      </c>
      <c r="F8" s="9" t="s">
        <v>8</v>
      </c>
      <c r="G8" s="7" t="s">
        <v>5</v>
      </c>
      <c r="H8" s="7" t="s">
        <v>6</v>
      </c>
      <c r="I8" s="7" t="s">
        <v>7</v>
      </c>
      <c r="J8" s="7" t="s">
        <v>8</v>
      </c>
      <c r="K8" s="10" t="s">
        <v>5</v>
      </c>
      <c r="L8" s="7" t="s">
        <v>6</v>
      </c>
      <c r="M8" s="7" t="s">
        <v>7</v>
      </c>
      <c r="N8" s="7" t="s">
        <v>8</v>
      </c>
      <c r="O8" s="11" t="s">
        <v>9</v>
      </c>
      <c r="P8" s="12" t="s">
        <v>10</v>
      </c>
    </row>
    <row r="9" spans="1:16" s="2" customFormat="1" ht="11.25">
      <c r="A9" s="13" t="s">
        <v>11</v>
      </c>
      <c r="B9" s="13"/>
      <c r="C9" s="13"/>
      <c r="D9" s="13"/>
      <c r="E9" s="14"/>
      <c r="F9" s="15"/>
      <c r="G9" s="13"/>
      <c r="H9" s="13"/>
      <c r="I9" s="13"/>
      <c r="J9" s="13"/>
      <c r="K9" s="16"/>
      <c r="L9" s="14"/>
      <c r="M9" s="14"/>
      <c r="N9" s="14"/>
      <c r="O9" s="14"/>
      <c r="P9" s="15"/>
    </row>
    <row r="10" spans="1:16" s="2" customFormat="1" ht="11.25">
      <c r="A10" s="2" t="s">
        <v>12</v>
      </c>
      <c r="C10" s="2">
        <v>3381847</v>
      </c>
      <c r="D10" s="2">
        <v>3299572</v>
      </c>
      <c r="E10" s="4">
        <v>2984084</v>
      </c>
      <c r="F10" s="17">
        <v>3014801</v>
      </c>
      <c r="G10" s="2">
        <v>3158110</v>
      </c>
      <c r="H10" s="2">
        <v>3020903</v>
      </c>
      <c r="I10" s="2">
        <v>1901843</v>
      </c>
      <c r="J10" s="2">
        <v>1939871</v>
      </c>
      <c r="K10" s="18">
        <v>1970008</v>
      </c>
      <c r="L10" s="4">
        <v>1919860</v>
      </c>
      <c r="M10" s="4">
        <v>1645327</v>
      </c>
      <c r="N10" s="4">
        <v>1628199</v>
      </c>
      <c r="O10" s="4">
        <v>1603995</v>
      </c>
      <c r="P10" s="17">
        <v>1335147</v>
      </c>
    </row>
    <row r="11" spans="1:16" s="2" customFormat="1" ht="11.25">
      <c r="A11" s="2" t="s">
        <v>13</v>
      </c>
      <c r="C11" s="2">
        <v>501740</v>
      </c>
      <c r="D11" s="2">
        <v>470980</v>
      </c>
      <c r="E11" s="4">
        <v>465934</v>
      </c>
      <c r="F11" s="17">
        <v>466805</v>
      </c>
      <c r="G11" s="2">
        <v>679549</v>
      </c>
      <c r="H11" s="2">
        <v>613925</v>
      </c>
      <c r="I11" s="2">
        <v>489992</v>
      </c>
      <c r="J11" s="2">
        <v>545209</v>
      </c>
      <c r="K11" s="18">
        <v>615823</v>
      </c>
      <c r="L11" s="4">
        <v>555955</v>
      </c>
      <c r="M11" s="4">
        <v>497930</v>
      </c>
      <c r="N11" s="4">
        <v>496265</v>
      </c>
      <c r="O11" s="4">
        <v>545388</v>
      </c>
      <c r="P11" s="17">
        <v>427812</v>
      </c>
    </row>
    <row r="12" spans="1:16" s="2" customFormat="1" ht="11.25">
      <c r="A12" s="2" t="s">
        <v>14</v>
      </c>
      <c r="C12" s="4">
        <f aca="true" t="shared" si="0" ref="C12:P12">C13+C14</f>
        <v>1682246</v>
      </c>
      <c r="D12" s="4">
        <f t="shared" si="0"/>
        <v>1669113</v>
      </c>
      <c r="E12" s="4">
        <f t="shared" si="0"/>
        <v>1394570</v>
      </c>
      <c r="F12" s="17">
        <f t="shared" si="0"/>
        <v>1428729</v>
      </c>
      <c r="G12" s="2">
        <f t="shared" si="0"/>
        <v>1461437</v>
      </c>
      <c r="H12" s="2">
        <f t="shared" si="0"/>
        <v>1473153</v>
      </c>
      <c r="I12" s="2">
        <f t="shared" si="0"/>
        <v>684337</v>
      </c>
      <c r="J12" s="2">
        <f t="shared" si="0"/>
        <v>709601</v>
      </c>
      <c r="K12" s="18">
        <f t="shared" si="0"/>
        <v>723259</v>
      </c>
      <c r="L12" s="4">
        <f t="shared" si="0"/>
        <v>705276</v>
      </c>
      <c r="M12" s="4">
        <f t="shared" si="0"/>
        <v>691290</v>
      </c>
      <c r="N12" s="4">
        <f t="shared" si="0"/>
        <v>672725</v>
      </c>
      <c r="O12" s="4">
        <f t="shared" si="0"/>
        <v>654472</v>
      </c>
      <c r="P12" s="17">
        <f t="shared" si="0"/>
        <v>595455</v>
      </c>
    </row>
    <row r="13" spans="2:16" s="2" customFormat="1" ht="11.25">
      <c r="B13" s="2" t="s">
        <v>15</v>
      </c>
      <c r="C13" s="2">
        <v>1654607</v>
      </c>
      <c r="D13" s="2">
        <v>1643156</v>
      </c>
      <c r="E13" s="4">
        <v>1370020</v>
      </c>
      <c r="F13" s="17">
        <v>1417019</v>
      </c>
      <c r="G13" s="2">
        <v>1450287</v>
      </c>
      <c r="H13" s="2">
        <v>1459299</v>
      </c>
      <c r="I13" s="2">
        <v>673305</v>
      </c>
      <c r="J13" s="2">
        <v>699594</v>
      </c>
      <c r="K13" s="18">
        <v>710805</v>
      </c>
      <c r="L13" s="4">
        <v>694515</v>
      </c>
      <c r="M13" s="4">
        <v>683366</v>
      </c>
      <c r="N13" s="4">
        <v>661249</v>
      </c>
      <c r="O13" s="4">
        <v>643558</v>
      </c>
      <c r="P13" s="17">
        <v>583292</v>
      </c>
    </row>
    <row r="14" spans="2:16" s="2" customFormat="1" ht="11.25">
      <c r="B14" s="2" t="s">
        <v>16</v>
      </c>
      <c r="C14" s="2">
        <v>27639</v>
      </c>
      <c r="D14" s="2">
        <v>25957</v>
      </c>
      <c r="E14" s="4">
        <v>24550</v>
      </c>
      <c r="F14" s="17">
        <v>11710</v>
      </c>
      <c r="G14" s="2">
        <v>11150</v>
      </c>
      <c r="H14" s="2">
        <v>13854</v>
      </c>
      <c r="I14" s="2">
        <v>11032</v>
      </c>
      <c r="J14" s="2">
        <v>10007</v>
      </c>
      <c r="K14" s="18">
        <v>12454</v>
      </c>
      <c r="L14" s="4">
        <v>10761</v>
      </c>
      <c r="M14" s="4">
        <v>7924</v>
      </c>
      <c r="N14" s="4">
        <v>11476</v>
      </c>
      <c r="O14" s="4">
        <v>10914</v>
      </c>
      <c r="P14" s="17">
        <v>12163</v>
      </c>
    </row>
    <row r="15" spans="1:16" s="2" customFormat="1" ht="11.25">
      <c r="A15" s="2" t="s">
        <v>17</v>
      </c>
      <c r="C15" s="2">
        <v>910176</v>
      </c>
      <c r="D15" s="2">
        <v>862703</v>
      </c>
      <c r="E15" s="4">
        <v>834557</v>
      </c>
      <c r="F15" s="17">
        <v>831071</v>
      </c>
      <c r="G15" s="2">
        <v>789105</v>
      </c>
      <c r="H15" s="2">
        <v>699055</v>
      </c>
      <c r="I15" s="2">
        <v>563754</v>
      </c>
      <c r="J15" s="2">
        <v>525995</v>
      </c>
      <c r="K15" s="18">
        <v>508058</v>
      </c>
      <c r="L15" s="4">
        <v>510570</v>
      </c>
      <c r="M15" s="4">
        <v>333772</v>
      </c>
      <c r="N15" s="4">
        <v>303765</v>
      </c>
      <c r="O15" s="4">
        <v>291401</v>
      </c>
      <c r="P15" s="17">
        <v>227252</v>
      </c>
    </row>
    <row r="16" spans="1:16" s="2" customFormat="1" ht="11.25">
      <c r="A16" s="2" t="s">
        <v>18</v>
      </c>
      <c r="C16" s="4">
        <f aca="true" t="shared" si="1" ref="C16:P16">C17+C21</f>
        <v>2283193</v>
      </c>
      <c r="D16" s="4">
        <f t="shared" si="1"/>
        <v>2267863</v>
      </c>
      <c r="E16" s="4">
        <f t="shared" si="1"/>
        <v>1968680</v>
      </c>
      <c r="F16" s="17">
        <f t="shared" si="1"/>
        <v>2022261</v>
      </c>
      <c r="G16" s="2">
        <f t="shared" si="1"/>
        <v>2110513</v>
      </c>
      <c r="H16" s="2">
        <f t="shared" si="1"/>
        <v>2020897</v>
      </c>
      <c r="I16" s="2">
        <f t="shared" si="1"/>
        <v>1114527</v>
      </c>
      <c r="J16" s="2">
        <f t="shared" si="1"/>
        <v>1078761</v>
      </c>
      <c r="K16" s="18">
        <f t="shared" si="1"/>
        <v>1092916</v>
      </c>
      <c r="L16" s="4">
        <f t="shared" si="1"/>
        <v>1112263</v>
      </c>
      <c r="M16" s="4">
        <f t="shared" si="1"/>
        <v>1034728</v>
      </c>
      <c r="N16" s="4">
        <f t="shared" si="1"/>
        <v>1029777</v>
      </c>
      <c r="O16" s="4">
        <f t="shared" si="1"/>
        <v>1038033</v>
      </c>
      <c r="P16" s="17">
        <f t="shared" si="1"/>
        <v>923164</v>
      </c>
    </row>
    <row r="17" spans="2:16" s="2" customFormat="1" ht="11.25">
      <c r="B17" s="2" t="s">
        <v>15</v>
      </c>
      <c r="C17" s="4">
        <f aca="true" t="shared" si="2" ref="C17:P17">SUM(C18:C20)</f>
        <v>2197980</v>
      </c>
      <c r="D17" s="4">
        <f t="shared" si="2"/>
        <v>2180592</v>
      </c>
      <c r="E17" s="4">
        <f t="shared" si="2"/>
        <v>1907288</v>
      </c>
      <c r="F17" s="17">
        <f t="shared" si="2"/>
        <v>1959875</v>
      </c>
      <c r="G17" s="2">
        <f t="shared" si="2"/>
        <v>2056424</v>
      </c>
      <c r="H17" s="2">
        <f t="shared" si="2"/>
        <v>1966811</v>
      </c>
      <c r="I17" s="2">
        <f t="shared" si="2"/>
        <v>1071034</v>
      </c>
      <c r="J17" s="2">
        <f t="shared" si="2"/>
        <v>1039596</v>
      </c>
      <c r="K17" s="18">
        <f t="shared" si="2"/>
        <v>1060316</v>
      </c>
      <c r="L17" s="4">
        <f t="shared" si="2"/>
        <v>1063190</v>
      </c>
      <c r="M17" s="4">
        <f t="shared" si="2"/>
        <v>992781</v>
      </c>
      <c r="N17" s="4">
        <f t="shared" si="2"/>
        <v>962124</v>
      </c>
      <c r="O17" s="4">
        <f t="shared" si="2"/>
        <v>969484</v>
      </c>
      <c r="P17" s="17">
        <f t="shared" si="2"/>
        <v>839038</v>
      </c>
    </row>
    <row r="18" spans="2:16" s="2" customFormat="1" ht="11.25">
      <c r="B18" s="2" t="s">
        <v>19</v>
      </c>
      <c r="C18" s="2">
        <v>0</v>
      </c>
      <c r="D18" s="2">
        <v>0</v>
      </c>
      <c r="E18" s="4">
        <v>0</v>
      </c>
      <c r="F18" s="17">
        <v>0</v>
      </c>
      <c r="G18" s="2">
        <v>0</v>
      </c>
      <c r="H18" s="2">
        <v>0</v>
      </c>
      <c r="I18" s="2">
        <v>0</v>
      </c>
      <c r="J18" s="2">
        <v>0</v>
      </c>
      <c r="K18" s="18">
        <v>0</v>
      </c>
      <c r="L18" s="4">
        <v>0</v>
      </c>
      <c r="M18" s="4">
        <v>0</v>
      </c>
      <c r="N18" s="4">
        <v>0</v>
      </c>
      <c r="O18" s="4">
        <v>0</v>
      </c>
      <c r="P18" s="17">
        <v>0</v>
      </c>
    </row>
    <row r="19" spans="2:16" s="2" customFormat="1" ht="11.25">
      <c r="B19" s="2" t="s">
        <v>20</v>
      </c>
      <c r="C19" s="2">
        <v>2090125</v>
      </c>
      <c r="D19" s="2">
        <v>2082853</v>
      </c>
      <c r="E19" s="4">
        <v>1811878</v>
      </c>
      <c r="F19" s="17">
        <v>1859712</v>
      </c>
      <c r="G19" s="2">
        <v>1946509</v>
      </c>
      <c r="H19" s="2">
        <v>1851234</v>
      </c>
      <c r="I19" s="2">
        <v>923486</v>
      </c>
      <c r="J19" s="2">
        <v>872825</v>
      </c>
      <c r="K19" s="18">
        <v>879782</v>
      </c>
      <c r="L19" s="4">
        <v>851272</v>
      </c>
      <c r="M19" s="4">
        <v>850740</v>
      </c>
      <c r="N19" s="4">
        <v>843367</v>
      </c>
      <c r="O19" s="4">
        <v>811351</v>
      </c>
      <c r="P19" s="17">
        <v>772164</v>
      </c>
    </row>
    <row r="20" spans="2:16" s="2" customFormat="1" ht="11.25">
      <c r="B20" s="2" t="s">
        <v>21</v>
      </c>
      <c r="C20" s="2">
        <v>107855</v>
      </c>
      <c r="D20" s="2">
        <v>97739</v>
      </c>
      <c r="E20" s="4">
        <v>95410</v>
      </c>
      <c r="F20" s="17">
        <v>100163</v>
      </c>
      <c r="G20" s="2">
        <v>109915</v>
      </c>
      <c r="H20" s="2">
        <v>115577</v>
      </c>
      <c r="I20" s="2">
        <v>147548</v>
      </c>
      <c r="J20" s="2">
        <v>166771</v>
      </c>
      <c r="K20" s="18">
        <v>180534</v>
      </c>
      <c r="L20" s="4">
        <v>211918</v>
      </c>
      <c r="M20" s="4">
        <v>142041</v>
      </c>
      <c r="N20" s="4">
        <v>118757</v>
      </c>
      <c r="O20" s="4">
        <v>158133</v>
      </c>
      <c r="P20" s="17">
        <v>66874</v>
      </c>
    </row>
    <row r="21" spans="2:16" s="2" customFormat="1" ht="11.25">
      <c r="B21" s="2" t="s">
        <v>16</v>
      </c>
      <c r="C21" s="2">
        <f>SUM(C22:C24)</f>
        <v>85213</v>
      </c>
      <c r="D21" s="4">
        <f aca="true" t="shared" si="3" ref="D21:P21">SUM(D23:D24)</f>
        <v>87271</v>
      </c>
      <c r="E21" s="4">
        <f t="shared" si="3"/>
        <v>61392</v>
      </c>
      <c r="F21" s="17">
        <f t="shared" si="3"/>
        <v>62386</v>
      </c>
      <c r="G21" s="2">
        <f t="shared" si="3"/>
        <v>54089</v>
      </c>
      <c r="H21" s="2">
        <f t="shared" si="3"/>
        <v>54086</v>
      </c>
      <c r="I21" s="2">
        <f t="shared" si="3"/>
        <v>43493</v>
      </c>
      <c r="J21" s="2">
        <f t="shared" si="3"/>
        <v>39165</v>
      </c>
      <c r="K21" s="18">
        <f t="shared" si="3"/>
        <v>32600</v>
      </c>
      <c r="L21" s="4">
        <f t="shared" si="3"/>
        <v>49073</v>
      </c>
      <c r="M21" s="4">
        <f t="shared" si="3"/>
        <v>41947</v>
      </c>
      <c r="N21" s="4">
        <f t="shared" si="3"/>
        <v>67653</v>
      </c>
      <c r="O21" s="4">
        <f t="shared" si="3"/>
        <v>68549</v>
      </c>
      <c r="P21" s="17">
        <f t="shared" si="3"/>
        <v>84126</v>
      </c>
    </row>
    <row r="22" spans="2:16" s="2" customFormat="1" ht="11.25">
      <c r="B22" s="2" t="s">
        <v>19</v>
      </c>
      <c r="C22" s="2">
        <v>0</v>
      </c>
      <c r="D22" s="4">
        <v>0</v>
      </c>
      <c r="E22" s="4">
        <v>0</v>
      </c>
      <c r="F22" s="17">
        <v>0</v>
      </c>
      <c r="K22" s="18"/>
      <c r="L22" s="4"/>
      <c r="M22" s="4"/>
      <c r="N22" s="4"/>
      <c r="O22" s="4"/>
      <c r="P22" s="17"/>
    </row>
    <row r="23" spans="2:16" s="2" customFormat="1" ht="11.25">
      <c r="B23" s="2" t="s">
        <v>20</v>
      </c>
      <c r="C23" s="2">
        <v>37973</v>
      </c>
      <c r="D23" s="2">
        <v>32649</v>
      </c>
      <c r="E23" s="4">
        <v>16966</v>
      </c>
      <c r="F23" s="17">
        <v>17905</v>
      </c>
      <c r="G23" s="2">
        <v>17871</v>
      </c>
      <c r="H23" s="2">
        <v>17004</v>
      </c>
      <c r="I23" s="2">
        <v>13894</v>
      </c>
      <c r="J23" s="2">
        <v>12267</v>
      </c>
      <c r="K23" s="18">
        <v>15449</v>
      </c>
      <c r="L23" s="4">
        <v>22388</v>
      </c>
      <c r="M23" s="4">
        <v>13025</v>
      </c>
      <c r="N23" s="4">
        <v>13693</v>
      </c>
      <c r="O23" s="4">
        <v>15467</v>
      </c>
      <c r="P23" s="17">
        <v>12336</v>
      </c>
    </row>
    <row r="24" spans="2:16" s="2" customFormat="1" ht="11.25">
      <c r="B24" s="2" t="s">
        <v>21</v>
      </c>
      <c r="C24" s="2">
        <v>47240</v>
      </c>
      <c r="D24" s="2">
        <v>54622</v>
      </c>
      <c r="E24" s="4">
        <v>44426</v>
      </c>
      <c r="F24" s="17">
        <v>44481</v>
      </c>
      <c r="G24" s="2">
        <v>36218</v>
      </c>
      <c r="H24" s="2">
        <v>37082</v>
      </c>
      <c r="I24" s="2">
        <v>29599</v>
      </c>
      <c r="J24" s="2">
        <v>26898</v>
      </c>
      <c r="K24" s="18">
        <v>17151</v>
      </c>
      <c r="L24" s="4">
        <v>26685</v>
      </c>
      <c r="M24" s="4">
        <v>28922</v>
      </c>
      <c r="N24" s="4">
        <v>53960</v>
      </c>
      <c r="O24" s="4">
        <v>53082</v>
      </c>
      <c r="P24" s="17">
        <v>71790</v>
      </c>
    </row>
    <row r="25" spans="1:16" s="2" customFormat="1" ht="11.25">
      <c r="A25" s="3" t="s">
        <v>22</v>
      </c>
      <c r="B25" s="3"/>
      <c r="C25" s="3">
        <v>429238</v>
      </c>
      <c r="D25" s="3">
        <v>424754</v>
      </c>
      <c r="E25" s="3">
        <v>416919</v>
      </c>
      <c r="F25" s="19">
        <v>361015</v>
      </c>
      <c r="G25" s="3">
        <v>357380</v>
      </c>
      <c r="H25" s="3">
        <v>357073</v>
      </c>
      <c r="I25" s="3">
        <v>265504</v>
      </c>
      <c r="J25" s="3">
        <v>222163</v>
      </c>
      <c r="K25" s="20">
        <v>224251</v>
      </c>
      <c r="L25" s="3">
        <v>225730</v>
      </c>
      <c r="M25" s="3">
        <v>147805</v>
      </c>
      <c r="N25" s="3">
        <v>145338</v>
      </c>
      <c r="O25" s="3">
        <v>136250</v>
      </c>
      <c r="P25" s="19">
        <v>121019</v>
      </c>
    </row>
    <row r="26" spans="1:16" s="2" customFormat="1" ht="11.25">
      <c r="A26" s="13" t="s">
        <v>23</v>
      </c>
      <c r="E26" s="4"/>
      <c r="F26" s="17"/>
      <c r="K26" s="18"/>
      <c r="L26" s="4"/>
      <c r="M26" s="4"/>
      <c r="N26" s="4"/>
      <c r="O26" s="4"/>
      <c r="P26" s="17"/>
    </row>
    <row r="27" spans="1:16" s="2" customFormat="1" ht="11.25">
      <c r="A27" s="2" t="s">
        <v>12</v>
      </c>
      <c r="C27" s="4">
        <f aca="true" t="shared" si="4" ref="C27:I27">(C10+G10)/2</f>
        <v>3269978.5</v>
      </c>
      <c r="D27" s="4">
        <f t="shared" si="4"/>
        <v>3160237.5</v>
      </c>
      <c r="E27" s="4">
        <f t="shared" si="4"/>
        <v>2442963.5</v>
      </c>
      <c r="F27" s="17">
        <f t="shared" si="4"/>
        <v>2477336</v>
      </c>
      <c r="G27" s="2">
        <f t="shared" si="4"/>
        <v>2564059</v>
      </c>
      <c r="H27" s="2">
        <f t="shared" si="4"/>
        <v>2470381.5</v>
      </c>
      <c r="I27" s="2">
        <f t="shared" si="4"/>
        <v>1773585</v>
      </c>
      <c r="J27" s="2">
        <f>+(J10+N10)/2</f>
        <v>1784035</v>
      </c>
      <c r="K27" s="18">
        <f>+(K10+O10)/2</f>
        <v>1787001.5</v>
      </c>
      <c r="L27" s="4">
        <v>1710273</v>
      </c>
      <c r="M27" s="4">
        <v>1538383</v>
      </c>
      <c r="N27" s="4">
        <v>1477696</v>
      </c>
      <c r="O27" s="4">
        <f>(O10+P10)/2</f>
        <v>1469571</v>
      </c>
      <c r="P27" s="17">
        <v>1169609</v>
      </c>
    </row>
    <row r="28" spans="1:16" s="2" customFormat="1" ht="11.25">
      <c r="A28" s="2" t="s">
        <v>24</v>
      </c>
      <c r="C28" s="4">
        <f aca="true" t="shared" si="5" ref="C28:P28">C29+C30</f>
        <v>2421482</v>
      </c>
      <c r="D28" s="4">
        <f t="shared" si="5"/>
        <v>2352012</v>
      </c>
      <c r="E28" s="4">
        <f t="shared" si="5"/>
        <v>1738609</v>
      </c>
      <c r="F28" s="17">
        <f t="shared" si="5"/>
        <v>1747698</v>
      </c>
      <c r="G28" s="2">
        <f t="shared" si="5"/>
        <v>1740929.5</v>
      </c>
      <c r="H28" s="2">
        <f t="shared" si="5"/>
        <v>1694027</v>
      </c>
      <c r="I28" s="2">
        <f t="shared" si="5"/>
        <v>1136576.5</v>
      </c>
      <c r="J28" s="2">
        <f t="shared" si="5"/>
        <v>1106043</v>
      </c>
      <c r="K28" s="18">
        <f t="shared" si="5"/>
        <v>1088595</v>
      </c>
      <c r="L28" s="4">
        <f t="shared" si="5"/>
        <v>1073153</v>
      </c>
      <c r="M28" s="4">
        <f t="shared" si="5"/>
        <v>941597</v>
      </c>
      <c r="N28" s="4">
        <f t="shared" si="5"/>
        <v>919314</v>
      </c>
      <c r="O28" s="4">
        <f t="shared" si="5"/>
        <v>884290</v>
      </c>
      <c r="P28" s="17">
        <f t="shared" si="5"/>
        <v>729352</v>
      </c>
    </row>
    <row r="29" spans="2:16" s="2" customFormat="1" ht="11.25">
      <c r="B29" s="2" t="s">
        <v>14</v>
      </c>
      <c r="C29" s="4">
        <f aca="true" t="shared" si="6" ref="C29:I29">(C12+G12)/2</f>
        <v>1571841.5</v>
      </c>
      <c r="D29" s="4">
        <f t="shared" si="6"/>
        <v>1571133</v>
      </c>
      <c r="E29" s="4">
        <f t="shared" si="6"/>
        <v>1039453.5</v>
      </c>
      <c r="F29" s="17">
        <f t="shared" si="6"/>
        <v>1069165</v>
      </c>
      <c r="G29" s="2">
        <f t="shared" si="6"/>
        <v>1092348</v>
      </c>
      <c r="H29" s="2">
        <f t="shared" si="6"/>
        <v>1089214.5</v>
      </c>
      <c r="I29" s="2">
        <f t="shared" si="6"/>
        <v>687813.5</v>
      </c>
      <c r="J29" s="2">
        <f>+(J12+N12)/2</f>
        <v>691163</v>
      </c>
      <c r="K29" s="18">
        <f>+(K12+O12)/2</f>
        <v>688865.5</v>
      </c>
      <c r="L29" s="4">
        <v>671132</v>
      </c>
      <c r="M29" s="4">
        <v>663652</v>
      </c>
      <c r="N29" s="4">
        <v>652586</v>
      </c>
      <c r="O29" s="4">
        <f>(O12+P12)/2</f>
        <v>624963.5</v>
      </c>
      <c r="P29" s="17">
        <v>556087</v>
      </c>
    </row>
    <row r="30" spans="2:16" s="2" customFormat="1" ht="11.25">
      <c r="B30" s="2" t="s">
        <v>17</v>
      </c>
      <c r="C30" s="4">
        <f aca="true" t="shared" si="7" ref="C30:I30">(C15+G15)/2</f>
        <v>849640.5</v>
      </c>
      <c r="D30" s="4">
        <f t="shared" si="7"/>
        <v>780879</v>
      </c>
      <c r="E30" s="4">
        <f t="shared" si="7"/>
        <v>699155.5</v>
      </c>
      <c r="F30" s="17">
        <f t="shared" si="7"/>
        <v>678533</v>
      </c>
      <c r="G30" s="2">
        <f t="shared" si="7"/>
        <v>648581.5</v>
      </c>
      <c r="H30" s="2">
        <f t="shared" si="7"/>
        <v>604812.5</v>
      </c>
      <c r="I30" s="2">
        <f t="shared" si="7"/>
        <v>448763</v>
      </c>
      <c r="J30" s="2">
        <f>+(J15+N15)/2</f>
        <v>414880</v>
      </c>
      <c r="K30" s="18">
        <f>+(K15+O15)/2</f>
        <v>399729.5</v>
      </c>
      <c r="L30" s="4">
        <v>402021</v>
      </c>
      <c r="M30" s="4">
        <v>277945</v>
      </c>
      <c r="N30" s="4">
        <v>266728</v>
      </c>
      <c r="O30" s="4">
        <f>(O15+P15)/2</f>
        <v>259326.5</v>
      </c>
      <c r="P30" s="17">
        <v>173265</v>
      </c>
    </row>
    <row r="31" spans="1:16" s="2" customFormat="1" ht="11.25">
      <c r="A31" s="3" t="s">
        <v>22</v>
      </c>
      <c r="B31" s="3"/>
      <c r="C31" s="3">
        <f aca="true" t="shared" si="8" ref="C31:I31">(C25+G25)/2</f>
        <v>393309</v>
      </c>
      <c r="D31" s="3">
        <f t="shared" si="8"/>
        <v>390913.5</v>
      </c>
      <c r="E31" s="3">
        <f t="shared" si="8"/>
        <v>341211.5</v>
      </c>
      <c r="F31" s="19">
        <f t="shared" si="8"/>
        <v>291589</v>
      </c>
      <c r="G31" s="3">
        <f t="shared" si="8"/>
        <v>290815.5</v>
      </c>
      <c r="H31" s="3">
        <f t="shared" si="8"/>
        <v>291401.5</v>
      </c>
      <c r="I31" s="3">
        <f t="shared" si="8"/>
        <v>206654.5</v>
      </c>
      <c r="J31" s="3">
        <f>+(J25+N25)/2</f>
        <v>183750.5</v>
      </c>
      <c r="K31" s="20">
        <f>+(K25+O25)/2</f>
        <v>180250.5</v>
      </c>
      <c r="L31" s="3">
        <v>171489</v>
      </c>
      <c r="M31" s="3">
        <v>131581</v>
      </c>
      <c r="N31" s="3">
        <v>132635</v>
      </c>
      <c r="O31" s="3">
        <f>(O25+P25)/2</f>
        <v>128634.5</v>
      </c>
      <c r="P31" s="19">
        <v>102597</v>
      </c>
    </row>
    <row r="32" spans="1:16" s="2" customFormat="1" ht="11.25">
      <c r="A32" s="13" t="s">
        <v>25</v>
      </c>
      <c r="E32" s="4"/>
      <c r="F32" s="17"/>
      <c r="K32" s="18"/>
      <c r="L32" s="4"/>
      <c r="M32" s="4"/>
      <c r="N32" s="4"/>
      <c r="O32" s="4"/>
      <c r="P32" s="17"/>
    </row>
    <row r="33" spans="1:16" s="2" customFormat="1" ht="11.25">
      <c r="A33" s="2" t="s">
        <v>26</v>
      </c>
      <c r="C33" s="2">
        <v>243235</v>
      </c>
      <c r="D33" s="2">
        <v>186676</v>
      </c>
      <c r="E33" s="4">
        <v>130323</v>
      </c>
      <c r="F33" s="17">
        <v>55977</v>
      </c>
      <c r="G33" s="2">
        <v>223253</v>
      </c>
      <c r="H33" s="2">
        <v>163714</v>
      </c>
      <c r="I33" s="2">
        <f>J33+67553</f>
        <v>110666</v>
      </c>
      <c r="J33" s="2">
        <v>43113</v>
      </c>
      <c r="K33" s="18">
        <v>137116</v>
      </c>
      <c r="L33" s="4">
        <v>97922</v>
      </c>
      <c r="M33" s="4">
        <v>61590</v>
      </c>
      <c r="N33" s="4">
        <v>32633</v>
      </c>
      <c r="O33" s="4">
        <v>112750</v>
      </c>
      <c r="P33" s="17">
        <v>121752</v>
      </c>
    </row>
    <row r="34" spans="1:16" s="2" customFormat="1" ht="11.25">
      <c r="A34" s="2" t="s">
        <v>27</v>
      </c>
      <c r="C34" s="2">
        <v>146815</v>
      </c>
      <c r="D34" s="2">
        <v>109843</v>
      </c>
      <c r="E34" s="4">
        <v>74998</v>
      </c>
      <c r="F34" s="17">
        <v>39399</v>
      </c>
      <c r="G34" s="2">
        <v>138307</v>
      </c>
      <c r="H34" s="2">
        <v>94567</v>
      </c>
      <c r="I34" s="2">
        <f>J34+28837</f>
        <v>59652</v>
      </c>
      <c r="J34" s="2">
        <v>30815</v>
      </c>
      <c r="K34" s="18">
        <v>109940</v>
      </c>
      <c r="L34" s="4">
        <v>79127</v>
      </c>
      <c r="M34" s="4">
        <v>49737</v>
      </c>
      <c r="N34" s="4">
        <v>23995</v>
      </c>
      <c r="O34" s="4">
        <v>87294</v>
      </c>
      <c r="P34" s="17">
        <v>69690</v>
      </c>
    </row>
    <row r="35" spans="1:16" s="2" customFormat="1" ht="11.25">
      <c r="A35" s="2" t="s">
        <v>28</v>
      </c>
      <c r="C35" s="4">
        <f>+C33-C34</f>
        <v>96420</v>
      </c>
      <c r="D35" s="4">
        <f>+D33-D34</f>
        <v>76833</v>
      </c>
      <c r="E35" s="4">
        <f>+E33-E34</f>
        <v>55325</v>
      </c>
      <c r="F35" s="17">
        <f>+F33-F34</f>
        <v>16578</v>
      </c>
      <c r="G35" s="2">
        <f aca="true" t="shared" si="9" ref="G35:P35">G33-G34</f>
        <v>84946</v>
      </c>
      <c r="H35" s="2">
        <f t="shared" si="9"/>
        <v>69147</v>
      </c>
      <c r="I35" s="2">
        <f t="shared" si="9"/>
        <v>51014</v>
      </c>
      <c r="J35" s="2">
        <f t="shared" si="9"/>
        <v>12298</v>
      </c>
      <c r="K35" s="18">
        <f t="shared" si="9"/>
        <v>27176</v>
      </c>
      <c r="L35" s="4">
        <f t="shared" si="9"/>
        <v>18795</v>
      </c>
      <c r="M35" s="4">
        <f t="shared" si="9"/>
        <v>11853</v>
      </c>
      <c r="N35" s="4">
        <f t="shared" si="9"/>
        <v>8638</v>
      </c>
      <c r="O35" s="4">
        <f t="shared" si="9"/>
        <v>25456</v>
      </c>
      <c r="P35" s="17">
        <f t="shared" si="9"/>
        <v>52062</v>
      </c>
    </row>
    <row r="36" spans="1:16" s="2" customFormat="1" ht="11.25">
      <c r="A36" s="2" t="s">
        <v>29</v>
      </c>
      <c r="C36" s="2">
        <v>45823</v>
      </c>
      <c r="D36" s="2">
        <v>31787</v>
      </c>
      <c r="E36" s="4">
        <v>20877</v>
      </c>
      <c r="F36" s="17">
        <v>9505</v>
      </c>
      <c r="G36" s="2">
        <v>41770</v>
      </c>
      <c r="H36" s="2">
        <v>30693</v>
      </c>
      <c r="I36" s="2">
        <f>J36+11027</f>
        <v>17199</v>
      </c>
      <c r="J36" s="2">
        <v>6172</v>
      </c>
      <c r="K36" s="18">
        <v>41968</v>
      </c>
      <c r="L36" s="4">
        <v>25866</v>
      </c>
      <c r="M36" s="4">
        <v>16762</v>
      </c>
      <c r="N36" s="4">
        <v>7940</v>
      </c>
      <c r="O36" s="4">
        <v>33063</v>
      </c>
      <c r="P36" s="17">
        <v>8434</v>
      </c>
    </row>
    <row r="37" spans="1:16" s="2" customFormat="1" ht="11.25">
      <c r="A37" s="2" t="s">
        <v>30</v>
      </c>
      <c r="C37" s="4">
        <f>+C36+C35</f>
        <v>142243</v>
      </c>
      <c r="D37" s="4">
        <f>+D36+D35</f>
        <v>108620</v>
      </c>
      <c r="E37" s="4">
        <f>+E36+E35</f>
        <v>76202</v>
      </c>
      <c r="F37" s="17">
        <f>+F36+F35</f>
        <v>26083</v>
      </c>
      <c r="G37" s="2">
        <f aca="true" t="shared" si="10" ref="G37:P37">G35+G36</f>
        <v>126716</v>
      </c>
      <c r="H37" s="2">
        <f t="shared" si="10"/>
        <v>99840</v>
      </c>
      <c r="I37" s="2">
        <f t="shared" si="10"/>
        <v>68213</v>
      </c>
      <c r="J37" s="2">
        <f t="shared" si="10"/>
        <v>18470</v>
      </c>
      <c r="K37" s="18">
        <f t="shared" si="10"/>
        <v>69144</v>
      </c>
      <c r="L37" s="4">
        <f t="shared" si="10"/>
        <v>44661</v>
      </c>
      <c r="M37" s="4">
        <f t="shared" si="10"/>
        <v>28615</v>
      </c>
      <c r="N37" s="4">
        <f t="shared" si="10"/>
        <v>16578</v>
      </c>
      <c r="O37" s="4">
        <f t="shared" si="10"/>
        <v>58519</v>
      </c>
      <c r="P37" s="17">
        <f t="shared" si="10"/>
        <v>60496</v>
      </c>
    </row>
    <row r="38" spans="1:16" s="2" customFormat="1" ht="11.25">
      <c r="A38" s="2" t="s">
        <v>31</v>
      </c>
      <c r="C38" s="2">
        <v>62871</v>
      </c>
      <c r="D38" s="2">
        <v>44029</v>
      </c>
      <c r="E38" s="4">
        <v>29429</v>
      </c>
      <c r="F38" s="17">
        <v>14895</v>
      </c>
      <c r="G38" s="2">
        <v>57018</v>
      </c>
      <c r="H38" s="2">
        <v>36306</v>
      </c>
      <c r="I38" s="2">
        <f>J38+10428</f>
        <v>19858</v>
      </c>
      <c r="J38" s="2">
        <v>9430</v>
      </c>
      <c r="K38" s="18">
        <v>44581</v>
      </c>
      <c r="L38" s="4">
        <v>27924</v>
      </c>
      <c r="M38" s="4">
        <v>19464</v>
      </c>
      <c r="N38" s="4">
        <v>10592</v>
      </c>
      <c r="O38" s="4">
        <v>41351</v>
      </c>
      <c r="P38" s="17">
        <v>33651</v>
      </c>
    </row>
    <row r="39" spans="1:16" s="2" customFormat="1" ht="11.25">
      <c r="A39" s="2" t="s">
        <v>32</v>
      </c>
      <c r="C39" s="4">
        <f>+C37-C38</f>
        <v>79372</v>
      </c>
      <c r="D39" s="4">
        <f>+D37-D38</f>
        <v>64591</v>
      </c>
      <c r="E39" s="4">
        <f>+E37-E38</f>
        <v>46773</v>
      </c>
      <c r="F39" s="17">
        <f>+F37-F38</f>
        <v>11188</v>
      </c>
      <c r="G39" s="2">
        <f aca="true" t="shared" si="11" ref="G39:P39">G37-G38</f>
        <v>69698</v>
      </c>
      <c r="H39" s="2">
        <f t="shared" si="11"/>
        <v>63534</v>
      </c>
      <c r="I39" s="2">
        <f t="shared" si="11"/>
        <v>48355</v>
      </c>
      <c r="J39" s="2">
        <f t="shared" si="11"/>
        <v>9040</v>
      </c>
      <c r="K39" s="18">
        <f t="shared" si="11"/>
        <v>24563</v>
      </c>
      <c r="L39" s="4">
        <f t="shared" si="11"/>
        <v>16737</v>
      </c>
      <c r="M39" s="4">
        <f t="shared" si="11"/>
        <v>9151</v>
      </c>
      <c r="N39" s="4">
        <f t="shared" si="11"/>
        <v>5986</v>
      </c>
      <c r="O39" s="4">
        <f t="shared" si="11"/>
        <v>17168</v>
      </c>
      <c r="P39" s="17">
        <f t="shared" si="11"/>
        <v>26845</v>
      </c>
    </row>
    <row r="40" spans="1:16" s="2" customFormat="1" ht="11.25">
      <c r="A40" s="3" t="s">
        <v>33</v>
      </c>
      <c r="B40" s="3"/>
      <c r="C40" s="3">
        <v>60897</v>
      </c>
      <c r="D40" s="3">
        <v>49123</v>
      </c>
      <c r="E40" s="3">
        <v>31422</v>
      </c>
      <c r="F40" s="19">
        <v>11188</v>
      </c>
      <c r="G40" s="3">
        <v>69279</v>
      </c>
      <c r="H40" s="3">
        <v>62132</v>
      </c>
      <c r="I40" s="3">
        <f>J40+39315</f>
        <v>48355</v>
      </c>
      <c r="J40" s="3">
        <v>9040</v>
      </c>
      <c r="K40" s="20">
        <v>20313</v>
      </c>
      <c r="L40" s="3">
        <v>14787</v>
      </c>
      <c r="M40" s="3">
        <v>8151</v>
      </c>
      <c r="N40" s="3">
        <v>5686</v>
      </c>
      <c r="O40" s="3">
        <v>14318</v>
      </c>
      <c r="P40" s="19">
        <v>17295</v>
      </c>
    </row>
    <row r="41" spans="1:16" s="2" customFormat="1" ht="11.25">
      <c r="A41" s="13" t="s">
        <v>34</v>
      </c>
      <c r="E41" s="4"/>
      <c r="F41" s="17"/>
      <c r="K41" s="18"/>
      <c r="L41" s="4"/>
      <c r="M41" s="4"/>
      <c r="N41" s="4"/>
      <c r="O41" s="4"/>
      <c r="P41" s="17"/>
    </row>
    <row r="42" spans="1:16" s="2" customFormat="1" ht="11.25">
      <c r="A42" s="2" t="s">
        <v>35</v>
      </c>
      <c r="C42" s="2">
        <v>28641</v>
      </c>
      <c r="D42" s="2">
        <v>33340</v>
      </c>
      <c r="E42" s="4">
        <v>21708</v>
      </c>
      <c r="F42" s="21">
        <v>48975</v>
      </c>
      <c r="G42" s="2">
        <v>38614</v>
      </c>
      <c r="H42" s="2">
        <v>44323</v>
      </c>
      <c r="I42" s="2">
        <v>26210</v>
      </c>
      <c r="J42" s="2">
        <v>17009</v>
      </c>
      <c r="K42" s="18">
        <v>12735</v>
      </c>
      <c r="L42" s="4">
        <v>11913</v>
      </c>
      <c r="M42" s="4">
        <v>10883</v>
      </c>
      <c r="N42" s="4">
        <v>11165</v>
      </c>
      <c r="O42" s="4">
        <v>11128</v>
      </c>
      <c r="P42" s="17">
        <v>9657</v>
      </c>
    </row>
    <row r="43" spans="1:16" s="2" customFormat="1" ht="11.25">
      <c r="A43" s="2" t="s">
        <v>36</v>
      </c>
      <c r="C43" s="2">
        <v>42233</v>
      </c>
      <c r="D43" s="2">
        <v>51138</v>
      </c>
      <c r="E43" s="4">
        <v>39770</v>
      </c>
      <c r="F43" s="17">
        <v>31664</v>
      </c>
      <c r="G43" s="2">
        <v>26890</v>
      </c>
      <c r="H43" s="2">
        <v>33232</v>
      </c>
      <c r="I43" s="2">
        <v>12008</v>
      </c>
      <c r="J43" s="2">
        <v>13111</v>
      </c>
      <c r="K43" s="18">
        <v>12179</v>
      </c>
      <c r="L43" s="4">
        <v>9943</v>
      </c>
      <c r="M43" s="4">
        <v>9801</v>
      </c>
      <c r="N43" s="4">
        <v>10314</v>
      </c>
      <c r="O43" s="4">
        <v>11700</v>
      </c>
      <c r="P43" s="17">
        <v>11336</v>
      </c>
    </row>
    <row r="44" spans="1:16" s="2" customFormat="1" ht="11.25">
      <c r="A44" s="2" t="s">
        <v>37</v>
      </c>
      <c r="C44" s="22">
        <f aca="true" t="shared" si="12" ref="C44:P44">C42/C12</f>
        <v>0.017025452876689853</v>
      </c>
      <c r="D44" s="22">
        <f t="shared" si="12"/>
        <v>0.019974681162988964</v>
      </c>
      <c r="E44" s="22">
        <f t="shared" si="12"/>
        <v>0.015566088471715296</v>
      </c>
      <c r="F44" s="23">
        <f t="shared" si="12"/>
        <v>0.03427871905728798</v>
      </c>
      <c r="G44" s="24">
        <f t="shared" si="12"/>
        <v>0.026421939502010692</v>
      </c>
      <c r="H44" s="24">
        <f t="shared" si="12"/>
        <v>0.0300871667776531</v>
      </c>
      <c r="I44" s="24">
        <f t="shared" si="12"/>
        <v>0.038299843498159535</v>
      </c>
      <c r="J44" s="24">
        <f t="shared" si="12"/>
        <v>0.023969808385275668</v>
      </c>
      <c r="K44" s="25">
        <f t="shared" si="12"/>
        <v>0.017607800248596976</v>
      </c>
      <c r="L44" s="22">
        <f t="shared" si="12"/>
        <v>0.01689125959198952</v>
      </c>
      <c r="M44" s="22">
        <f t="shared" si="12"/>
        <v>0.015743031144671557</v>
      </c>
      <c r="N44" s="22">
        <f t="shared" si="12"/>
        <v>0.016596677691478687</v>
      </c>
      <c r="O44" s="4">
        <f t="shared" si="12"/>
        <v>0.017003019227713332</v>
      </c>
      <c r="P44" s="17">
        <f t="shared" si="12"/>
        <v>0.016217850215381514</v>
      </c>
    </row>
    <row r="45" spans="1:16" s="2" customFormat="1" ht="11.25">
      <c r="A45" s="2" t="s">
        <v>38</v>
      </c>
      <c r="C45" s="22">
        <f aca="true" t="shared" si="13" ref="C45:P45">C43/C42</f>
        <v>1.4745644355993157</v>
      </c>
      <c r="D45" s="22">
        <f t="shared" si="13"/>
        <v>1.5338332333533293</v>
      </c>
      <c r="E45" s="22">
        <f t="shared" si="13"/>
        <v>1.832043486272342</v>
      </c>
      <c r="F45" s="23">
        <f t="shared" si="13"/>
        <v>0.6465339458907606</v>
      </c>
      <c r="G45" s="24">
        <f t="shared" si="13"/>
        <v>0.6963795514580204</v>
      </c>
      <c r="H45" s="24">
        <f t="shared" si="13"/>
        <v>0.7497687430904948</v>
      </c>
      <c r="I45" s="24">
        <f t="shared" si="13"/>
        <v>0.45814574589851204</v>
      </c>
      <c r="J45" s="24">
        <f t="shared" si="13"/>
        <v>0.7708272091245811</v>
      </c>
      <c r="K45" s="25">
        <f t="shared" si="13"/>
        <v>0.9563407930899097</v>
      </c>
      <c r="L45" s="22">
        <f t="shared" si="13"/>
        <v>0.8346344329723832</v>
      </c>
      <c r="M45" s="22">
        <f t="shared" si="13"/>
        <v>0.9005788844987596</v>
      </c>
      <c r="N45" s="22">
        <f t="shared" si="13"/>
        <v>0.9237796686072548</v>
      </c>
      <c r="O45" s="4">
        <f t="shared" si="13"/>
        <v>1.0514018691588785</v>
      </c>
      <c r="P45" s="17">
        <f t="shared" si="13"/>
        <v>1.1738635186911048</v>
      </c>
    </row>
    <row r="46" spans="1:16" s="2" customFormat="1" ht="11.25">
      <c r="A46" s="3" t="s">
        <v>39</v>
      </c>
      <c r="B46" s="3"/>
      <c r="C46" s="26">
        <f aca="true" t="shared" si="14" ref="C46:P46">C43/C12</f>
        <v>0.02510512731193892</v>
      </c>
      <c r="D46" s="26">
        <f t="shared" si="14"/>
        <v>0.030637829793429206</v>
      </c>
      <c r="E46" s="26">
        <f t="shared" si="14"/>
        <v>0.028517750991345004</v>
      </c>
      <c r="F46" s="27">
        <f t="shared" si="14"/>
        <v>0.02216235549218921</v>
      </c>
      <c r="G46" s="26">
        <f t="shared" si="14"/>
        <v>0.018399698379061157</v>
      </c>
      <c r="H46" s="26">
        <f t="shared" si="14"/>
        <v>0.02255841721803506</v>
      </c>
      <c r="I46" s="26">
        <f t="shared" si="14"/>
        <v>0.017546910367260575</v>
      </c>
      <c r="J46" s="26">
        <f t="shared" si="14"/>
        <v>0.018476580500873026</v>
      </c>
      <c r="K46" s="28">
        <f t="shared" si="14"/>
        <v>0.016839057654311942</v>
      </c>
      <c r="L46" s="26">
        <f t="shared" si="14"/>
        <v>0.0140980268717495</v>
      </c>
      <c r="M46" s="26">
        <f t="shared" si="14"/>
        <v>0.01417784142689754</v>
      </c>
      <c r="N46" s="26">
        <f t="shared" si="14"/>
        <v>0.0153316734178156</v>
      </c>
      <c r="O46" s="3">
        <f t="shared" si="14"/>
        <v>0.01787700619736215</v>
      </c>
      <c r="P46" s="19">
        <f t="shared" si="14"/>
        <v>0.01903754271943304</v>
      </c>
    </row>
    <row r="47" spans="1:16" s="2" customFormat="1" ht="11.25">
      <c r="A47" s="13" t="s">
        <v>40</v>
      </c>
      <c r="C47" s="24"/>
      <c r="D47" s="24"/>
      <c r="E47" s="22"/>
      <c r="F47" s="23"/>
      <c r="G47" s="24"/>
      <c r="H47" s="24"/>
      <c r="I47" s="24"/>
      <c r="J47" s="24"/>
      <c r="K47" s="25"/>
      <c r="L47" s="22"/>
      <c r="M47" s="22"/>
      <c r="N47" s="22"/>
      <c r="O47" s="4"/>
      <c r="P47" s="17"/>
    </row>
    <row r="48" spans="1:16" s="2" customFormat="1" ht="11.25">
      <c r="A48" s="2" t="s">
        <v>41</v>
      </c>
      <c r="C48" s="22">
        <f aca="true" t="shared" si="15" ref="C48:P48">C25/(C12+C15)</f>
        <v>0.1655741233487449</v>
      </c>
      <c r="D48" s="22">
        <f t="shared" si="15"/>
        <v>0.16776653595679938</v>
      </c>
      <c r="E48" s="22">
        <f t="shared" si="15"/>
        <v>0.18703241224030753</v>
      </c>
      <c r="F48" s="23">
        <f t="shared" si="15"/>
        <v>0.15975528807859102</v>
      </c>
      <c r="G48" s="24">
        <f t="shared" si="15"/>
        <v>0.15879730304966536</v>
      </c>
      <c r="H48" s="24">
        <f t="shared" si="15"/>
        <v>0.16438250848905814</v>
      </c>
      <c r="I48" s="24">
        <f t="shared" si="15"/>
        <v>0.21272807832121216</v>
      </c>
      <c r="J48" s="24">
        <f t="shared" si="15"/>
        <v>0.17980229783845206</v>
      </c>
      <c r="K48" s="25">
        <f t="shared" si="15"/>
        <v>0.1821228814350813</v>
      </c>
      <c r="L48" s="22">
        <f t="shared" si="15"/>
        <v>0.185656736132701</v>
      </c>
      <c r="M48" s="22">
        <f t="shared" si="15"/>
        <v>0.14419127818609997</v>
      </c>
      <c r="N48" s="22">
        <f t="shared" si="15"/>
        <v>0.14883716167088246</v>
      </c>
      <c r="O48" s="4">
        <f t="shared" si="15"/>
        <v>0.1440468223535295</v>
      </c>
      <c r="P48" s="17">
        <f t="shared" si="15"/>
        <v>0.14709854176517279</v>
      </c>
    </row>
    <row r="49" spans="1:16" s="2" customFormat="1" ht="11.25">
      <c r="A49" s="3" t="s">
        <v>42</v>
      </c>
      <c r="B49" s="3"/>
      <c r="C49" s="26">
        <f aca="true" t="shared" si="16" ref="C49:P49">C25/C12</f>
        <v>0.2551576879956915</v>
      </c>
      <c r="D49" s="26">
        <f t="shared" si="16"/>
        <v>0.25447887590594526</v>
      </c>
      <c r="E49" s="26">
        <f t="shared" si="16"/>
        <v>0.2989588188473867</v>
      </c>
      <c r="F49" s="27">
        <f t="shared" si="16"/>
        <v>0.2526826291060096</v>
      </c>
      <c r="G49" s="26">
        <f t="shared" si="16"/>
        <v>0.2445401341282587</v>
      </c>
      <c r="H49" s="26">
        <f t="shared" si="16"/>
        <v>0.2423869075377778</v>
      </c>
      <c r="I49" s="26">
        <f t="shared" si="16"/>
        <v>0.38797259245079546</v>
      </c>
      <c r="J49" s="26">
        <f t="shared" si="16"/>
        <v>0.3130815768297959</v>
      </c>
      <c r="K49" s="28">
        <f t="shared" si="16"/>
        <v>0.3100562868903118</v>
      </c>
      <c r="L49" s="26">
        <f t="shared" si="16"/>
        <v>0.3200590974313602</v>
      </c>
      <c r="M49" s="26">
        <f t="shared" si="16"/>
        <v>0.21381041241736465</v>
      </c>
      <c r="N49" s="26">
        <f t="shared" si="16"/>
        <v>0.21604370285034746</v>
      </c>
      <c r="O49" s="3">
        <f t="shared" si="16"/>
        <v>0.20818308499064894</v>
      </c>
      <c r="P49" s="19">
        <f t="shared" si="16"/>
        <v>0.2032378601237709</v>
      </c>
    </row>
    <row r="50" spans="1:16" s="2" customFormat="1" ht="11.25">
      <c r="A50" s="13" t="s">
        <v>43</v>
      </c>
      <c r="C50" s="24"/>
      <c r="D50" s="29"/>
      <c r="E50" s="22"/>
      <c r="F50" s="23"/>
      <c r="G50" s="24"/>
      <c r="H50" s="24"/>
      <c r="I50" s="24"/>
      <c r="J50" s="24"/>
      <c r="K50" s="25"/>
      <c r="L50" s="22"/>
      <c r="M50" s="22"/>
      <c r="N50" s="22"/>
      <c r="O50" s="4"/>
      <c r="P50" s="17"/>
    </row>
    <row r="51" spans="1:16" s="2" customFormat="1" ht="11.25">
      <c r="A51" s="2" t="s">
        <v>44</v>
      </c>
      <c r="C51" s="22">
        <f aca="true" t="shared" si="17" ref="C51:P51">C11/C16</f>
        <v>0.21975365201277333</v>
      </c>
      <c r="D51" s="22">
        <f t="shared" si="17"/>
        <v>0.2076756841131938</v>
      </c>
      <c r="E51" s="22">
        <f t="shared" si="17"/>
        <v>0.23667330393969563</v>
      </c>
      <c r="F51" s="23">
        <f t="shared" si="17"/>
        <v>0.23083321094557033</v>
      </c>
      <c r="G51" s="24">
        <f t="shared" si="17"/>
        <v>0.32198285440554025</v>
      </c>
      <c r="H51" s="24">
        <f t="shared" si="17"/>
        <v>0.30378836724484226</v>
      </c>
      <c r="I51" s="24">
        <f t="shared" si="17"/>
        <v>0.439641211024946</v>
      </c>
      <c r="J51" s="24">
        <f t="shared" si="17"/>
        <v>0.5054029576523438</v>
      </c>
      <c r="K51" s="25">
        <f t="shared" si="17"/>
        <v>0.5634678236936782</v>
      </c>
      <c r="L51" s="22">
        <f t="shared" si="17"/>
        <v>0.49984131450924824</v>
      </c>
      <c r="M51" s="22">
        <f t="shared" si="17"/>
        <v>0.48121825252626776</v>
      </c>
      <c r="N51" s="22">
        <f t="shared" si="17"/>
        <v>0.4819150165521273</v>
      </c>
      <c r="O51" s="4">
        <f t="shared" si="17"/>
        <v>0.5254052616824321</v>
      </c>
      <c r="P51" s="17">
        <f t="shared" si="17"/>
        <v>0.4634192841141986</v>
      </c>
    </row>
    <row r="52" spans="1:16" s="2" customFormat="1" ht="11.25">
      <c r="A52" s="2" t="s">
        <v>45</v>
      </c>
      <c r="C52" s="22">
        <f aca="true" t="shared" si="18" ref="C52:P52">C11/C10</f>
        <v>0.14836271422095676</v>
      </c>
      <c r="D52" s="22">
        <f t="shared" si="18"/>
        <v>0.14273972503100402</v>
      </c>
      <c r="E52" s="22">
        <f t="shared" si="18"/>
        <v>0.15613970652300674</v>
      </c>
      <c r="F52" s="23">
        <f t="shared" si="18"/>
        <v>0.15483774882653947</v>
      </c>
      <c r="G52" s="24">
        <f t="shared" si="18"/>
        <v>0.21517584884630364</v>
      </c>
      <c r="H52" s="24">
        <f t="shared" si="18"/>
        <v>0.2032256580234453</v>
      </c>
      <c r="I52" s="24">
        <f t="shared" si="18"/>
        <v>0.2576406149193177</v>
      </c>
      <c r="J52" s="24">
        <f t="shared" si="18"/>
        <v>0.28105425566957803</v>
      </c>
      <c r="K52" s="25">
        <f t="shared" si="18"/>
        <v>0.3125992381756825</v>
      </c>
      <c r="L52" s="22">
        <f t="shared" si="18"/>
        <v>0.2895810111153938</v>
      </c>
      <c r="M52" s="22">
        <f t="shared" si="18"/>
        <v>0.30263285049111815</v>
      </c>
      <c r="N52" s="22">
        <f t="shared" si="18"/>
        <v>0.3047938243421105</v>
      </c>
      <c r="O52" s="4">
        <f t="shared" si="18"/>
        <v>0.34001851626719537</v>
      </c>
      <c r="P52" s="17">
        <f t="shared" si="18"/>
        <v>0.32042314441780567</v>
      </c>
    </row>
    <row r="53" spans="1:16" s="2" customFormat="1" ht="11.25">
      <c r="A53" s="3" t="s">
        <v>46</v>
      </c>
      <c r="B53" s="3"/>
      <c r="C53" s="26">
        <f aca="true" t="shared" si="19" ref="C53:P53">(C11+C15)/C16</f>
        <v>0.6183953787524752</v>
      </c>
      <c r="D53" s="26">
        <f t="shared" si="19"/>
        <v>0.5880791740947314</v>
      </c>
      <c r="E53" s="26">
        <f t="shared" si="19"/>
        <v>0.6605903447995611</v>
      </c>
      <c r="F53" s="27">
        <f t="shared" si="19"/>
        <v>0.6417945062482043</v>
      </c>
      <c r="G53" s="26">
        <f t="shared" si="19"/>
        <v>0.6958753630041606</v>
      </c>
      <c r="H53" s="26">
        <f t="shared" si="19"/>
        <v>0.6497015929065163</v>
      </c>
      <c r="I53" s="26">
        <f t="shared" si="19"/>
        <v>0.9454647576954169</v>
      </c>
      <c r="J53" s="26">
        <f t="shared" si="19"/>
        <v>0.9929947411891976</v>
      </c>
      <c r="K53" s="28">
        <f t="shared" si="19"/>
        <v>1.0283324610491567</v>
      </c>
      <c r="L53" s="26">
        <f t="shared" si="19"/>
        <v>0.9588784307308613</v>
      </c>
      <c r="M53" s="26">
        <f t="shared" si="19"/>
        <v>0.8037880486466008</v>
      </c>
      <c r="N53" s="26">
        <f t="shared" si="19"/>
        <v>0.7768963571724752</v>
      </c>
      <c r="O53" s="3">
        <f t="shared" si="19"/>
        <v>0.8061294775792291</v>
      </c>
      <c r="P53" s="19">
        <f t="shared" si="19"/>
        <v>0.7095857290795569</v>
      </c>
    </row>
    <row r="54" spans="1:16" s="2" customFormat="1" ht="11.25">
      <c r="A54" s="13" t="s">
        <v>47</v>
      </c>
      <c r="C54" s="24"/>
      <c r="D54" s="29"/>
      <c r="E54" s="22"/>
      <c r="F54" s="23"/>
      <c r="G54" s="24"/>
      <c r="H54" s="24"/>
      <c r="I54" s="24"/>
      <c r="J54" s="24"/>
      <c r="K54" s="25"/>
      <c r="L54" s="22"/>
      <c r="M54" s="22"/>
      <c r="N54" s="22"/>
      <c r="O54" s="4"/>
      <c r="P54" s="17"/>
    </row>
    <row r="55" spans="1:16" s="2" customFormat="1" ht="11.25">
      <c r="A55" s="2" t="s">
        <v>48</v>
      </c>
      <c r="B55" s="4"/>
      <c r="C55" s="22">
        <f>(C40)/C28</f>
        <v>0.02514864863748729</v>
      </c>
      <c r="D55" s="22">
        <f>((D40)/0.75)/D28</f>
        <v>0.027847363590548575</v>
      </c>
      <c r="E55" s="22">
        <f>((E40)/0.5)/E28</f>
        <v>0.03614613751568064</v>
      </c>
      <c r="F55" s="23">
        <f>((F40)/0.25)/F28</f>
        <v>0.02560625462751574</v>
      </c>
      <c r="G55" s="22">
        <f>(G40)/G28</f>
        <v>0.0397942593310068</v>
      </c>
      <c r="H55" s="24">
        <f>((H40)/0.75)/H28</f>
        <v>0.0489028018246856</v>
      </c>
      <c r="I55" s="24">
        <f>((I40)/0.5)/I28</f>
        <v>0.08508886115452853</v>
      </c>
      <c r="J55" s="24">
        <f>((J40)/0.25)/J28</f>
        <v>0.0326931231425903</v>
      </c>
      <c r="K55" s="25">
        <f>(K40)/K28</f>
        <v>0.018659832168988467</v>
      </c>
      <c r="L55" s="22">
        <f>((L40)/0.75)/L28</f>
        <v>0.018372030828782103</v>
      </c>
      <c r="M55" s="22">
        <f>((M40)/0.5)/M28</f>
        <v>0.017313139272958602</v>
      </c>
      <c r="N55" s="22">
        <f>((N40)/0.25)/N28</f>
        <v>0.02474018670443396</v>
      </c>
      <c r="O55" s="4">
        <f>O40/O28</f>
        <v>0.016191520881158897</v>
      </c>
      <c r="P55" s="17">
        <f>P40/P28</f>
        <v>0.02371283001897575</v>
      </c>
    </row>
    <row r="56" spans="1:16" s="2" customFormat="1" ht="11.25">
      <c r="A56" s="2" t="s">
        <v>49</v>
      </c>
      <c r="B56" s="4"/>
      <c r="C56" s="22">
        <f>(C40)/C27</f>
        <v>0.01862305822500056</v>
      </c>
      <c r="D56" s="22">
        <f>((D40)/0.75)/D27</f>
        <v>0.02072544653157661</v>
      </c>
      <c r="E56" s="22">
        <f>((E40)/0.5)/E27</f>
        <v>0.02572449404176526</v>
      </c>
      <c r="F56" s="23">
        <f>((F40)/0.25)/F27</f>
        <v>0.018064566130714606</v>
      </c>
      <c r="G56" s="22">
        <f>(G40)/G27</f>
        <v>0.027019269057381286</v>
      </c>
      <c r="H56" s="24">
        <f>((H40)/0.75)/H27</f>
        <v>0.03353436166303329</v>
      </c>
      <c r="I56" s="24">
        <f>((I40)/0.5)/I27</f>
        <v>0.05452797582298001</v>
      </c>
      <c r="J56" s="24">
        <f>((J40)/0.25)/J27</f>
        <v>0.020268660648473824</v>
      </c>
      <c r="K56" s="25">
        <f>(K40)/K27</f>
        <v>0.011367086149619909</v>
      </c>
      <c r="L56" s="22">
        <f>((L40)/0.75)/L27</f>
        <v>0.011527984128849604</v>
      </c>
      <c r="M56" s="22">
        <f>((M40)/0.5)/M27</f>
        <v>0.010596840968731454</v>
      </c>
      <c r="N56" s="22">
        <f>((N40)/0.25)/N27</f>
        <v>0.01539152843345316</v>
      </c>
      <c r="O56" s="4">
        <f>O40/O27</f>
        <v>0.009742979413720059</v>
      </c>
      <c r="P56" s="17">
        <f>P40/P27</f>
        <v>0.01478699291814615</v>
      </c>
    </row>
    <row r="57" spans="1:16" s="2" customFormat="1" ht="11.25">
      <c r="A57" s="2" t="s">
        <v>50</v>
      </c>
      <c r="B57" s="4"/>
      <c r="C57" s="22">
        <f>(C40)/C31</f>
        <v>0.15483245997421874</v>
      </c>
      <c r="D57" s="22">
        <f>((D40)/0.75)/D31</f>
        <v>0.16754942802776915</v>
      </c>
      <c r="E57" s="22">
        <f>((E40)/0.5)/E31</f>
        <v>0.18417902092983385</v>
      </c>
      <c r="F57" s="23">
        <f>((F40)/0.25)/F31</f>
        <v>0.15347629711683225</v>
      </c>
      <c r="G57" s="22">
        <f>(G40)/G31</f>
        <v>0.23822320337120959</v>
      </c>
      <c r="H57" s="24">
        <f>((H40)/0.75)/H31</f>
        <v>0.2842904606416462</v>
      </c>
      <c r="I57" s="24">
        <f>((I40)/0.5)/I31</f>
        <v>0.4679791632894517</v>
      </c>
      <c r="J57" s="24">
        <f>((J40)/0.25)/J31</f>
        <v>0.1967885801671288</v>
      </c>
      <c r="K57" s="25">
        <f>(K40)/K31</f>
        <v>0.11269316867359591</v>
      </c>
      <c r="L57" s="22">
        <f>((L40)/0.75)/L31</f>
        <v>0.11496947326067561</v>
      </c>
      <c r="M57" s="22">
        <f>((M40)/0.5)/M31</f>
        <v>0.12389326726503067</v>
      </c>
      <c r="N57" s="22">
        <f>((N40)/0.25)/N31</f>
        <v>0.17147811663588042</v>
      </c>
      <c r="O57" s="4">
        <f>O40/O31</f>
        <v>0.11130761965102674</v>
      </c>
      <c r="P57" s="17">
        <f>P40/P31</f>
        <v>0.16857218047311326</v>
      </c>
    </row>
    <row r="58" spans="1:16" s="2" customFormat="1" ht="11.25">
      <c r="A58" s="2" t="s">
        <v>51</v>
      </c>
      <c r="B58" s="4"/>
      <c r="C58" s="22">
        <f aca="true" t="shared" si="20" ref="C58:P58">(C33)/C28</f>
        <v>0.10044881605562214</v>
      </c>
      <c r="D58" s="22">
        <f t="shared" si="20"/>
        <v>0.07936864267699315</v>
      </c>
      <c r="E58" s="22">
        <f t="shared" si="20"/>
        <v>0.07495819934211775</v>
      </c>
      <c r="F58" s="23">
        <f t="shared" si="20"/>
        <v>0.03202898899008868</v>
      </c>
      <c r="G58" s="22">
        <f t="shared" si="20"/>
        <v>0.12823781778641813</v>
      </c>
      <c r="H58" s="22">
        <f t="shared" si="20"/>
        <v>0.09664190712426661</v>
      </c>
      <c r="I58" s="22">
        <f t="shared" si="20"/>
        <v>0.09736784105601339</v>
      </c>
      <c r="J58" s="23">
        <f t="shared" si="20"/>
        <v>0.03897949718048937</v>
      </c>
      <c r="K58" s="22">
        <f t="shared" si="20"/>
        <v>0.12595685264032996</v>
      </c>
      <c r="L58" s="22">
        <f t="shared" si="20"/>
        <v>0.09124700764942184</v>
      </c>
      <c r="M58" s="22">
        <f t="shared" si="20"/>
        <v>0.06541014892783219</v>
      </c>
      <c r="N58" s="22">
        <f t="shared" si="20"/>
        <v>0.03549712067911508</v>
      </c>
      <c r="O58" s="4">
        <f t="shared" si="20"/>
        <v>0.1275034208234855</v>
      </c>
      <c r="P58" s="17">
        <f t="shared" si="20"/>
        <v>0.16693174214919546</v>
      </c>
    </row>
    <row r="59" spans="1:16" s="2" customFormat="1" ht="11.25">
      <c r="A59" s="2" t="s">
        <v>52</v>
      </c>
      <c r="B59" s="4"/>
      <c r="C59" s="22">
        <f aca="true" t="shared" si="21" ref="C59:P59">(C34)/C28</f>
        <v>0.06063022562216031</v>
      </c>
      <c r="D59" s="22">
        <f t="shared" si="21"/>
        <v>0.046701717508244006</v>
      </c>
      <c r="E59" s="22">
        <f t="shared" si="21"/>
        <v>0.04313678348610872</v>
      </c>
      <c r="F59" s="23">
        <f t="shared" si="21"/>
        <v>0.022543368476704784</v>
      </c>
      <c r="G59" s="22">
        <f t="shared" si="21"/>
        <v>0.0794443428065295</v>
      </c>
      <c r="H59" s="22">
        <f t="shared" si="21"/>
        <v>0.05582378557130435</v>
      </c>
      <c r="I59" s="22">
        <f t="shared" si="21"/>
        <v>0.05248392871047396</v>
      </c>
      <c r="J59" s="23">
        <f t="shared" si="21"/>
        <v>0.027860580465678096</v>
      </c>
      <c r="K59" s="22">
        <f t="shared" si="21"/>
        <v>0.10099256380931385</v>
      </c>
      <c r="L59" s="22">
        <f t="shared" si="21"/>
        <v>0.07373319554620823</v>
      </c>
      <c r="M59" s="22">
        <f t="shared" si="21"/>
        <v>0.052821960987556246</v>
      </c>
      <c r="N59" s="22">
        <f t="shared" si="21"/>
        <v>0.026100983994587268</v>
      </c>
      <c r="O59" s="4">
        <f t="shared" si="21"/>
        <v>0.09871648441122256</v>
      </c>
      <c r="P59" s="17">
        <f t="shared" si="21"/>
        <v>0.09555057091774616</v>
      </c>
    </row>
    <row r="60" spans="1:16" s="2" customFormat="1" ht="11.25">
      <c r="A60" s="2" t="s">
        <v>53</v>
      </c>
      <c r="B60" s="4"/>
      <c r="C60" s="22">
        <f aca="true" t="shared" si="22" ref="C60:P60">(C35)/C28</f>
        <v>0.03981859043346182</v>
      </c>
      <c r="D60" s="22">
        <f t="shared" si="22"/>
        <v>0.03266692516874914</v>
      </c>
      <c r="E60" s="22">
        <f t="shared" si="22"/>
        <v>0.031821415856009026</v>
      </c>
      <c r="F60" s="23">
        <f t="shared" si="22"/>
        <v>0.009485620513383891</v>
      </c>
      <c r="G60" s="22">
        <f t="shared" si="22"/>
        <v>0.04879347497988862</v>
      </c>
      <c r="H60" s="22">
        <f t="shared" si="22"/>
        <v>0.04081812155296226</v>
      </c>
      <c r="I60" s="22">
        <f t="shared" si="22"/>
        <v>0.044883912345539435</v>
      </c>
      <c r="J60" s="23">
        <f t="shared" si="22"/>
        <v>0.011118916714811269</v>
      </c>
      <c r="K60" s="22">
        <f t="shared" si="22"/>
        <v>0.024964288831016125</v>
      </c>
      <c r="L60" s="22">
        <f t="shared" si="22"/>
        <v>0.017513812103213615</v>
      </c>
      <c r="M60" s="22">
        <f t="shared" si="22"/>
        <v>0.012588187940275936</v>
      </c>
      <c r="N60" s="22">
        <f t="shared" si="22"/>
        <v>0.00939613668452781</v>
      </c>
      <c r="O60" s="4">
        <f t="shared" si="22"/>
        <v>0.028786936412262945</v>
      </c>
      <c r="P60" s="17">
        <f t="shared" si="22"/>
        <v>0.07138117123144928</v>
      </c>
    </row>
    <row r="61" spans="1:16" s="2" customFormat="1" ht="11.25">
      <c r="A61" s="2" t="s">
        <v>54</v>
      </c>
      <c r="B61" s="4"/>
      <c r="C61" s="22">
        <f>(C38)/(C37)</f>
        <v>0.44199714572949106</v>
      </c>
      <c r="D61" s="22">
        <f>(D38/0.75)/(D37/0.75)</f>
        <v>0.4053489228503038</v>
      </c>
      <c r="E61" s="22">
        <f>(E38/0.5)/(E37/0.5)</f>
        <v>0.3861972126715834</v>
      </c>
      <c r="F61" s="23">
        <f>(F38/0.25)/(F37/0.25)</f>
        <v>0.5710616110110034</v>
      </c>
      <c r="G61" s="22">
        <f>(G38)/(G37)</f>
        <v>0.44996685501436284</v>
      </c>
      <c r="H61" s="22">
        <f>(H38/0.75)/(H37/0.75)</f>
        <v>0.36364182692307695</v>
      </c>
      <c r="I61" s="22">
        <f>(I38/0.5)/(I37/0.5)</f>
        <v>0.2911175289167754</v>
      </c>
      <c r="J61" s="23">
        <f>(J38/0.25)/(J37/0.25)</f>
        <v>0.5105576610720086</v>
      </c>
      <c r="K61" s="22">
        <f>(K38)/(K37)</f>
        <v>0.6447558718037718</v>
      </c>
      <c r="L61" s="22">
        <f>((L38)/0.75)/((L37)/0.75)</f>
        <v>0.6252435010411769</v>
      </c>
      <c r="M61" s="22">
        <f>((M38)/0.5)/((M37)/0.5)</f>
        <v>0.680202690896383</v>
      </c>
      <c r="N61" s="22">
        <f>(N38/0.25)/(N37/0.25)</f>
        <v>0.6389190493425021</v>
      </c>
      <c r="O61" s="4">
        <f>O38/O37</f>
        <v>0.7066251986534288</v>
      </c>
      <c r="P61" s="17">
        <f>P38/P37</f>
        <v>0.5562516530018513</v>
      </c>
    </row>
    <row r="62" spans="1:16" s="2" customFormat="1" ht="11.25">
      <c r="A62" s="3" t="s">
        <v>55</v>
      </c>
      <c r="B62" s="3"/>
      <c r="C62" s="26">
        <f aca="true" t="shared" si="23" ref="C62:P62">(C36)/C28</f>
        <v>0.018923535256508205</v>
      </c>
      <c r="D62" s="26">
        <f t="shared" si="23"/>
        <v>0.013514811999258507</v>
      </c>
      <c r="E62" s="26">
        <f t="shared" si="23"/>
        <v>0.01200787526120019</v>
      </c>
      <c r="F62" s="27">
        <f t="shared" si="23"/>
        <v>0.005438582638419224</v>
      </c>
      <c r="G62" s="26">
        <f t="shared" si="23"/>
        <v>0.02399293021342909</v>
      </c>
      <c r="H62" s="26">
        <f t="shared" si="23"/>
        <v>0.01811836529169842</v>
      </c>
      <c r="I62" s="26">
        <f t="shared" si="23"/>
        <v>0.01513228542029507</v>
      </c>
      <c r="J62" s="27">
        <f t="shared" si="23"/>
        <v>0.005580253208962039</v>
      </c>
      <c r="K62" s="26">
        <f t="shared" si="23"/>
        <v>0.03855244604283503</v>
      </c>
      <c r="L62" s="26">
        <f t="shared" si="23"/>
        <v>0.024102807335021195</v>
      </c>
      <c r="M62" s="26">
        <f t="shared" si="23"/>
        <v>0.017801670990880387</v>
      </c>
      <c r="N62" s="26">
        <f t="shared" si="23"/>
        <v>0.00863687488714411</v>
      </c>
      <c r="O62" s="3">
        <f t="shared" si="23"/>
        <v>0.037389317983919305</v>
      </c>
      <c r="P62" s="19">
        <f t="shared" si="23"/>
        <v>0.011563689411971174</v>
      </c>
    </row>
    <row r="63" spans="1:16" s="2" customFormat="1" ht="11.25">
      <c r="A63" s="13" t="s">
        <v>56</v>
      </c>
      <c r="B63" s="4"/>
      <c r="C63" s="4"/>
      <c r="D63" s="4"/>
      <c r="E63" s="4"/>
      <c r="F63" s="17"/>
      <c r="K63" s="18"/>
      <c r="L63" s="4"/>
      <c r="M63" s="4"/>
      <c r="N63" s="4"/>
      <c r="O63" s="4"/>
      <c r="P63" s="17"/>
    </row>
    <row r="64" spans="1:16" s="2" customFormat="1" ht="11.25">
      <c r="A64" s="2" t="s">
        <v>57</v>
      </c>
      <c r="B64" s="4"/>
      <c r="C64" s="4">
        <v>1454</v>
      </c>
      <c r="D64" s="30">
        <v>1403</v>
      </c>
      <c r="E64" s="30">
        <v>1429</v>
      </c>
      <c r="F64" s="17">
        <v>1473</v>
      </c>
      <c r="G64" s="2">
        <v>1522</v>
      </c>
      <c r="H64" s="2">
        <v>1512</v>
      </c>
      <c r="I64" s="2">
        <v>990</v>
      </c>
      <c r="J64" s="2">
        <v>951</v>
      </c>
      <c r="K64" s="18">
        <v>945</v>
      </c>
      <c r="L64" s="4">
        <v>944</v>
      </c>
      <c r="M64" s="4">
        <v>936</v>
      </c>
      <c r="N64" s="4">
        <v>952</v>
      </c>
      <c r="O64" s="4">
        <v>1004</v>
      </c>
      <c r="P64" s="17">
        <v>891</v>
      </c>
    </row>
    <row r="65" spans="1:16" s="2" customFormat="1" ht="11.25">
      <c r="A65" s="2" t="s">
        <v>58</v>
      </c>
      <c r="B65" s="4"/>
      <c r="C65" s="4">
        <v>41</v>
      </c>
      <c r="D65" s="30">
        <v>33</v>
      </c>
      <c r="E65" s="30">
        <v>35</v>
      </c>
      <c r="F65" s="17">
        <v>41</v>
      </c>
      <c r="G65" s="2">
        <v>41</v>
      </c>
      <c r="H65" s="2">
        <v>41</v>
      </c>
      <c r="I65" s="2">
        <v>29</v>
      </c>
      <c r="J65" s="2">
        <v>29</v>
      </c>
      <c r="K65" s="18">
        <v>29</v>
      </c>
      <c r="L65" s="4">
        <v>29</v>
      </c>
      <c r="M65" s="4">
        <v>27</v>
      </c>
      <c r="N65" s="4">
        <v>29</v>
      </c>
      <c r="O65" s="4">
        <v>29</v>
      </c>
      <c r="P65" s="17">
        <v>27</v>
      </c>
    </row>
    <row r="66" spans="1:16" s="2" customFormat="1" ht="11.25">
      <c r="A66" s="2" t="s">
        <v>59</v>
      </c>
      <c r="B66" s="4"/>
      <c r="C66" s="4">
        <f aca="true" t="shared" si="24" ref="C66:P66">C12/C64</f>
        <v>1156.977991746905</v>
      </c>
      <c r="D66" s="4">
        <f t="shared" si="24"/>
        <v>1189.6742694226657</v>
      </c>
      <c r="E66" s="4">
        <f t="shared" si="24"/>
        <v>975.9062281315605</v>
      </c>
      <c r="F66" s="17">
        <f t="shared" si="24"/>
        <v>969.9450101832994</v>
      </c>
      <c r="G66" s="2">
        <f t="shared" si="24"/>
        <v>960.2082785808147</v>
      </c>
      <c r="H66" s="2">
        <f t="shared" si="24"/>
        <v>974.3075396825396</v>
      </c>
      <c r="I66" s="2">
        <f t="shared" si="24"/>
        <v>691.249494949495</v>
      </c>
      <c r="J66" s="2">
        <f t="shared" si="24"/>
        <v>746.1629863301788</v>
      </c>
      <c r="K66" s="18">
        <f t="shared" si="24"/>
        <v>765.3534391534391</v>
      </c>
      <c r="L66" s="4">
        <f t="shared" si="24"/>
        <v>747.1144067796611</v>
      </c>
      <c r="M66" s="4">
        <f t="shared" si="24"/>
        <v>738.5576923076923</v>
      </c>
      <c r="N66" s="4">
        <f t="shared" si="24"/>
        <v>706.6439075630252</v>
      </c>
      <c r="O66" s="4">
        <f t="shared" si="24"/>
        <v>651.8645418326694</v>
      </c>
      <c r="P66" s="17">
        <f t="shared" si="24"/>
        <v>668.2996632996633</v>
      </c>
    </row>
    <row r="67" spans="1:16" s="2" customFormat="1" ht="11.25">
      <c r="A67" s="2" t="s">
        <v>60</v>
      </c>
      <c r="B67" s="4"/>
      <c r="C67" s="4">
        <f aca="true" t="shared" si="25" ref="C67:P67">C16/C64</f>
        <v>1570.2840440165062</v>
      </c>
      <c r="D67" s="4">
        <f t="shared" si="25"/>
        <v>1616.4383464005703</v>
      </c>
      <c r="E67" s="4">
        <f t="shared" si="25"/>
        <v>1377.662701189643</v>
      </c>
      <c r="F67" s="17">
        <f t="shared" si="25"/>
        <v>1372.8859470468433</v>
      </c>
      <c r="G67" s="2">
        <f t="shared" si="25"/>
        <v>1386.6708278580816</v>
      </c>
      <c r="H67" s="2">
        <f t="shared" si="25"/>
        <v>1336.57208994709</v>
      </c>
      <c r="I67" s="2">
        <f t="shared" si="25"/>
        <v>1125.7848484848485</v>
      </c>
      <c r="J67" s="2">
        <f t="shared" si="25"/>
        <v>1134.3438485804415</v>
      </c>
      <c r="K67" s="18">
        <f t="shared" si="25"/>
        <v>1156.5248677248678</v>
      </c>
      <c r="L67" s="4">
        <f t="shared" si="25"/>
        <v>1178.2447033898304</v>
      </c>
      <c r="M67" s="4">
        <f t="shared" si="25"/>
        <v>1105.4786324786326</v>
      </c>
      <c r="N67" s="4">
        <f t="shared" si="25"/>
        <v>1081.6985294117646</v>
      </c>
      <c r="O67" s="4">
        <f t="shared" si="25"/>
        <v>1033.8974103585658</v>
      </c>
      <c r="P67" s="17">
        <f t="shared" si="25"/>
        <v>1036.0987654320988</v>
      </c>
    </row>
    <row r="68" spans="1:16" s="2" customFormat="1" ht="11.25">
      <c r="A68" s="3" t="s">
        <v>61</v>
      </c>
      <c r="B68" s="3"/>
      <c r="C68" s="3">
        <f aca="true" t="shared" si="26" ref="C68:P68">C40/C64</f>
        <v>41.88239339752407</v>
      </c>
      <c r="D68" s="3">
        <f t="shared" si="26"/>
        <v>35.012829650748394</v>
      </c>
      <c r="E68" s="3">
        <f t="shared" si="26"/>
        <v>21.988803358992303</v>
      </c>
      <c r="F68" s="19">
        <f t="shared" si="26"/>
        <v>7.595383570943652</v>
      </c>
      <c r="G68" s="3">
        <f t="shared" si="26"/>
        <v>45.51839684625493</v>
      </c>
      <c r="H68" s="3">
        <f t="shared" si="26"/>
        <v>41.092592592592595</v>
      </c>
      <c r="I68" s="3">
        <f t="shared" si="26"/>
        <v>48.843434343434346</v>
      </c>
      <c r="J68" s="3">
        <f t="shared" si="26"/>
        <v>9.505783385909568</v>
      </c>
      <c r="K68" s="20">
        <f t="shared" si="26"/>
        <v>21.495238095238093</v>
      </c>
      <c r="L68" s="3">
        <f t="shared" si="26"/>
        <v>15.664194915254237</v>
      </c>
      <c r="M68" s="3">
        <f t="shared" si="26"/>
        <v>8.708333333333334</v>
      </c>
      <c r="N68" s="3">
        <f t="shared" si="26"/>
        <v>5.972689075630252</v>
      </c>
      <c r="O68" s="3">
        <f t="shared" si="26"/>
        <v>14.260956175298805</v>
      </c>
      <c r="P68" s="19">
        <f t="shared" si="26"/>
        <v>19.410774410774412</v>
      </c>
    </row>
    <row r="69" spans="1:16" s="2" customFormat="1" ht="11.25">
      <c r="A69" s="13" t="s">
        <v>62</v>
      </c>
      <c r="B69" s="4"/>
      <c r="C69" s="4"/>
      <c r="D69" s="4"/>
      <c r="E69" s="4"/>
      <c r="F69" s="17"/>
      <c r="K69" s="18"/>
      <c r="L69" s="4"/>
      <c r="M69" s="4"/>
      <c r="N69" s="4"/>
      <c r="O69" s="4"/>
      <c r="P69" s="17"/>
    </row>
    <row r="70" spans="1:16" s="2" customFormat="1" ht="11.25">
      <c r="A70" s="2" t="s">
        <v>63</v>
      </c>
      <c r="B70" s="4"/>
      <c r="C70" s="24">
        <f aca="true" t="shared" si="27" ref="C70:K70">(C10-G10)/G10</f>
        <v>0.07084522071745443</v>
      </c>
      <c r="D70" s="22">
        <f t="shared" si="27"/>
        <v>0.09224692087101108</v>
      </c>
      <c r="E70" s="22">
        <f t="shared" si="27"/>
        <v>0.5690485492230432</v>
      </c>
      <c r="F70" s="23">
        <f t="shared" si="27"/>
        <v>0.5541244752872743</v>
      </c>
      <c r="G70" s="24">
        <f t="shared" si="27"/>
        <v>0.6030950128121307</v>
      </c>
      <c r="H70" s="24">
        <f t="shared" si="27"/>
        <v>0.5735017136666215</v>
      </c>
      <c r="I70" s="24">
        <f t="shared" si="27"/>
        <v>0.15590578650930786</v>
      </c>
      <c r="J70" s="24">
        <f t="shared" si="27"/>
        <v>0.19142131889283803</v>
      </c>
      <c r="K70" s="25">
        <f t="shared" si="27"/>
        <v>0.2281883671707206</v>
      </c>
      <c r="L70" s="22">
        <f>(L10-1500686)/1500686</f>
        <v>0.279321590259388</v>
      </c>
      <c r="M70" s="22">
        <f>(M10-1431439)/1431439</f>
        <v>0.1494216658900589</v>
      </c>
      <c r="N70" s="22">
        <f>(N10-1327194)/1327194</f>
        <v>0.22679804158246647</v>
      </c>
      <c r="O70" s="4">
        <f>(O10-P10)/P10</f>
        <v>0.2013620972072738</v>
      </c>
      <c r="P70" s="17">
        <f>(P10-1004074)/1004074</f>
        <v>0.3297296812784715</v>
      </c>
    </row>
    <row r="71" spans="1:16" s="2" customFormat="1" ht="11.25">
      <c r="A71" s="2" t="s">
        <v>64</v>
      </c>
      <c r="B71" s="4"/>
      <c r="C71" s="24">
        <f aca="true" t="shared" si="28" ref="C71:I73">(C12-G12)/G12</f>
        <v>0.1510903309550805</v>
      </c>
      <c r="D71" s="22">
        <f t="shared" si="28"/>
        <v>0.13302080639281866</v>
      </c>
      <c r="E71" s="22">
        <f t="shared" si="28"/>
        <v>1.0378410052357245</v>
      </c>
      <c r="F71" s="23">
        <f t="shared" si="28"/>
        <v>1.013425854811366</v>
      </c>
      <c r="G71" s="24">
        <f t="shared" si="28"/>
        <v>1.0206274654031267</v>
      </c>
      <c r="H71" s="24">
        <f t="shared" si="28"/>
        <v>1.0887609956953022</v>
      </c>
      <c r="I71" s="24">
        <f t="shared" si="28"/>
        <v>-0.010058007493237282</v>
      </c>
      <c r="J71" s="24">
        <f>J12/N12-1</f>
        <v>0.054815860864394717</v>
      </c>
      <c r="K71" s="25">
        <f>K12/O12-1</f>
        <v>0.10510304489726074</v>
      </c>
      <c r="L71" s="22">
        <f>L12/636989-1</f>
        <v>0.10720279314085479</v>
      </c>
      <c r="M71" s="22">
        <f>M12/636015-1</f>
        <v>0.08690832763378231</v>
      </c>
      <c r="N71" s="22">
        <f>N12/632447-1</f>
        <v>0.06368596894285217</v>
      </c>
      <c r="O71" s="4">
        <f>O12/P12-1</f>
        <v>0.09911244342561565</v>
      </c>
      <c r="P71" s="17">
        <f>P12/516720-1</f>
        <v>0.1523745935903391</v>
      </c>
    </row>
    <row r="72" spans="2:16" s="2" customFormat="1" ht="11.25">
      <c r="B72" s="4" t="s">
        <v>15</v>
      </c>
      <c r="C72" s="24">
        <f t="shared" si="28"/>
        <v>0.14088245981657424</v>
      </c>
      <c r="D72" s="22">
        <f t="shared" si="28"/>
        <v>0.1259899444870448</v>
      </c>
      <c r="E72" s="22">
        <f t="shared" si="28"/>
        <v>1.0347687897758073</v>
      </c>
      <c r="F72" s="23">
        <f t="shared" si="28"/>
        <v>1.025487639974042</v>
      </c>
      <c r="G72" s="24">
        <f t="shared" si="28"/>
        <v>1.0403443982526854</v>
      </c>
      <c r="H72" s="24">
        <f t="shared" si="28"/>
        <v>1.1011770804086305</v>
      </c>
      <c r="I72" s="24">
        <f t="shared" si="28"/>
        <v>-0.0147227108167512</v>
      </c>
      <c r="J72" s="24">
        <f>(J13-N13)/N13</f>
        <v>0.05798874554063598</v>
      </c>
      <c r="K72" s="25">
        <f>(K13-O13)/O13</f>
        <v>0.10449252437231765</v>
      </c>
      <c r="L72" s="22">
        <f>(L13-625518)/625518</f>
        <v>0.11030378022694791</v>
      </c>
      <c r="M72" s="22">
        <f>(M13-625247)/625247</f>
        <v>0.09295366471170594</v>
      </c>
      <c r="N72" s="22">
        <f>(N13-621564)/621564</f>
        <v>0.06384700529631704</v>
      </c>
      <c r="O72" s="4">
        <f>(O13-P13)/P13</f>
        <v>0.10332046385000994</v>
      </c>
      <c r="P72" s="17">
        <f>(P13-510225)/510225</f>
        <v>0.14320544857660836</v>
      </c>
    </row>
    <row r="73" spans="2:16" s="2" customFormat="1" ht="11.25">
      <c r="B73" s="4" t="s">
        <v>16</v>
      </c>
      <c r="C73" s="31">
        <f t="shared" si="28"/>
        <v>1.478834080717489</v>
      </c>
      <c r="D73" s="31">
        <f t="shared" si="28"/>
        <v>0.8736105096001154</v>
      </c>
      <c r="E73" s="31">
        <f t="shared" si="28"/>
        <v>1.225344452501813</v>
      </c>
      <c r="F73" s="23">
        <f t="shared" si="28"/>
        <v>0.17018087338862797</v>
      </c>
      <c r="G73" s="22">
        <f t="shared" si="28"/>
        <v>-0.10470531556126546</v>
      </c>
      <c r="H73" s="24">
        <f t="shared" si="28"/>
        <v>0.28742681906885975</v>
      </c>
      <c r="I73" s="24">
        <f t="shared" si="28"/>
        <v>0.392226148409894</v>
      </c>
      <c r="J73" s="24">
        <f>(J14-N14)/N14</f>
        <v>-0.12800627396305334</v>
      </c>
      <c r="K73" s="25">
        <f>(K14-O14)/O14</f>
        <v>0.14110317024005864</v>
      </c>
      <c r="L73" s="22">
        <f>(L14-11471)/11471</f>
        <v>-0.061895214017958326</v>
      </c>
      <c r="M73" s="22">
        <f>(M14-10767)/10767</f>
        <v>-0.26404755270734653</v>
      </c>
      <c r="N73" s="22">
        <f>(N14-10884)/10884</f>
        <v>0.0543917677324513</v>
      </c>
      <c r="O73" s="4">
        <f>(O14-P14)/P14</f>
        <v>-0.10268848146016608</v>
      </c>
      <c r="P73" s="17">
        <f>(P14-6495)/6495</f>
        <v>0.872671285604311</v>
      </c>
    </row>
    <row r="74" spans="1:16" s="2" customFormat="1" ht="11.25">
      <c r="A74" s="2" t="s">
        <v>65</v>
      </c>
      <c r="B74" s="4"/>
      <c r="C74" s="24">
        <f aca="true" t="shared" si="29" ref="C74:I75">(C16-G16)/G16</f>
        <v>0.0818189700797863</v>
      </c>
      <c r="D74" s="22">
        <f t="shared" si="29"/>
        <v>0.12220612925844315</v>
      </c>
      <c r="E74" s="22">
        <f t="shared" si="29"/>
        <v>0.7663816130071321</v>
      </c>
      <c r="F74" s="23">
        <f t="shared" si="29"/>
        <v>0.8746144882879525</v>
      </c>
      <c r="G74" s="24">
        <f t="shared" si="29"/>
        <v>0.9310843651296166</v>
      </c>
      <c r="H74" s="24">
        <f t="shared" si="29"/>
        <v>0.8169236952051808</v>
      </c>
      <c r="I74" s="24">
        <f t="shared" si="29"/>
        <v>0.07712075057406391</v>
      </c>
      <c r="J74" s="24">
        <f>J16/N16-1</f>
        <v>0.047567580165414514</v>
      </c>
      <c r="K74" s="25">
        <f>K16/O16-1</f>
        <v>0.05287211485569343</v>
      </c>
      <c r="L74" s="22">
        <f>L16/1037392-1</f>
        <v>0.07217233215602192</v>
      </c>
      <c r="M74" s="22">
        <f>M16/1001411-1</f>
        <v>0.033270055951053035</v>
      </c>
      <c r="N74" s="22">
        <f>N16/926255-1</f>
        <v>0.1117640390605179</v>
      </c>
      <c r="O74" s="4">
        <f>O16/P16-1</f>
        <v>0.12442967880029987</v>
      </c>
      <c r="P74" s="17">
        <f>P16/827951-1</f>
        <v>0.11499835135171033</v>
      </c>
    </row>
    <row r="75" spans="2:16" s="2" customFormat="1" ht="11.25">
      <c r="B75" s="4" t="s">
        <v>15</v>
      </c>
      <c r="C75" s="24">
        <f t="shared" si="29"/>
        <v>0.06883599880180352</v>
      </c>
      <c r="D75" s="22">
        <f t="shared" si="29"/>
        <v>0.10869422633898224</v>
      </c>
      <c r="E75" s="22">
        <f t="shared" si="29"/>
        <v>0.780791272732705</v>
      </c>
      <c r="F75" s="23">
        <f t="shared" si="29"/>
        <v>0.885227530694616</v>
      </c>
      <c r="G75" s="24">
        <f t="shared" si="29"/>
        <v>0.9394444674983684</v>
      </c>
      <c r="H75" s="24">
        <f t="shared" si="29"/>
        <v>0.8499148788081152</v>
      </c>
      <c r="I75" s="24">
        <f t="shared" si="29"/>
        <v>0.07882201613447477</v>
      </c>
      <c r="J75" s="24">
        <f>(J17-N17)/N17</f>
        <v>0.08052184541701485</v>
      </c>
      <c r="K75" s="25">
        <f>(K17-O17)/O17</f>
        <v>0.09369107690276476</v>
      </c>
      <c r="L75" s="22">
        <f>(L17-940411)/940411</f>
        <v>0.13055887266312283</v>
      </c>
      <c r="M75" s="22">
        <f>(M17-899626)/899626</f>
        <v>0.10354858574563207</v>
      </c>
      <c r="N75" s="22">
        <f>(N17-818427)/818427</f>
        <v>0.17557705207672766</v>
      </c>
      <c r="O75" s="4">
        <f>(O17-P17)/P17</f>
        <v>0.1554709083498006</v>
      </c>
      <c r="P75" s="17">
        <f>(P17-659100)/659100</f>
        <v>0.2730056137156729</v>
      </c>
    </row>
    <row r="76" spans="2:16" s="2" customFormat="1" ht="11.25">
      <c r="B76" s="4" t="s">
        <v>16</v>
      </c>
      <c r="C76" s="24">
        <f aca="true" t="shared" si="30" ref="C76:K76">(C21-G21)/G21</f>
        <v>0.5754219896836695</v>
      </c>
      <c r="D76" s="22">
        <f t="shared" si="30"/>
        <v>0.6135598861073106</v>
      </c>
      <c r="E76" s="22">
        <f t="shared" si="30"/>
        <v>0.41153748879129975</v>
      </c>
      <c r="F76" s="23">
        <f t="shared" si="30"/>
        <v>0.5929018256096004</v>
      </c>
      <c r="G76" s="24">
        <f t="shared" si="30"/>
        <v>0.6591717791411043</v>
      </c>
      <c r="H76" s="24">
        <f t="shared" si="30"/>
        <v>0.10215393393515783</v>
      </c>
      <c r="I76" s="24">
        <f t="shared" si="30"/>
        <v>0.036856032612582544</v>
      </c>
      <c r="J76" s="24">
        <f t="shared" si="30"/>
        <v>-0.4210899738370804</v>
      </c>
      <c r="K76" s="25">
        <f t="shared" si="30"/>
        <v>-0.5244277815868941</v>
      </c>
      <c r="L76" s="22">
        <f>(L21-96981)/96981</f>
        <v>-0.49399366886297313</v>
      </c>
      <c r="M76" s="22">
        <f>(M21-101784)/101784</f>
        <v>-0.5878821818753439</v>
      </c>
      <c r="N76" s="22">
        <f>(N21-107828)/107828</f>
        <v>-0.3725841154431131</v>
      </c>
      <c r="O76" s="4">
        <f>(O21-P21)/P21</f>
        <v>-0.1851627320923377</v>
      </c>
      <c r="P76" s="17">
        <f>(P21-168852)/168852</f>
        <v>-0.5017767038590008</v>
      </c>
    </row>
    <row r="77" spans="1:16" s="2" customFormat="1" ht="11.25">
      <c r="A77" s="2" t="s">
        <v>66</v>
      </c>
      <c r="C77" s="24">
        <f aca="true" t="shared" si="31" ref="C77:I77">C25/G25-1</f>
        <v>0.20106889025686936</v>
      </c>
      <c r="D77" s="22">
        <f t="shared" si="31"/>
        <v>0.18954387478190737</v>
      </c>
      <c r="E77" s="22">
        <f t="shared" si="31"/>
        <v>0.5702927262866095</v>
      </c>
      <c r="F77" s="23">
        <f t="shared" si="31"/>
        <v>0.6250005626499462</v>
      </c>
      <c r="G77" s="24">
        <f t="shared" si="31"/>
        <v>0.5936606748687854</v>
      </c>
      <c r="H77" s="24">
        <f t="shared" si="31"/>
        <v>0.5818588579276127</v>
      </c>
      <c r="I77" s="24">
        <f t="shared" si="31"/>
        <v>0.7963127093129461</v>
      </c>
      <c r="J77" s="24">
        <f>(J25-N25)/N25</f>
        <v>0.5285954120739242</v>
      </c>
      <c r="K77" s="25">
        <f>(K25-O25)/O25</f>
        <v>0.6458788990825688</v>
      </c>
      <c r="L77" s="22">
        <f>(L25-117248)/117248</f>
        <v>0.9252353984716157</v>
      </c>
      <c r="M77" s="22">
        <f>(M25-115358)/115358</f>
        <v>0.28127221345723746</v>
      </c>
      <c r="N77" s="22">
        <f>(N25-119934)/119934</f>
        <v>0.21181649907449096</v>
      </c>
      <c r="O77" s="4">
        <f>(O25-P25)/P25</f>
        <v>0.12585627050297887</v>
      </c>
      <c r="P77" s="17">
        <f>(P25-84176)/84176</f>
        <v>0.4376900779319521</v>
      </c>
    </row>
    <row r="78" spans="1:16" s="2" customFormat="1" ht="11.25">
      <c r="A78" s="3" t="s">
        <v>67</v>
      </c>
      <c r="B78" s="3"/>
      <c r="C78" s="26">
        <f aca="true" t="shared" si="32" ref="C78:I78">(C40-G40)/G40</f>
        <v>-0.12098904429913827</v>
      </c>
      <c r="D78" s="26">
        <f t="shared" si="32"/>
        <v>-0.20937681066117297</v>
      </c>
      <c r="E78" s="26">
        <f t="shared" si="32"/>
        <v>-0.35018095336573263</v>
      </c>
      <c r="F78" s="27">
        <f t="shared" si="32"/>
        <v>0.23761061946902653</v>
      </c>
      <c r="G78" s="26">
        <f t="shared" si="32"/>
        <v>2.4105745089351647</v>
      </c>
      <c r="H78" s="26">
        <f t="shared" si="32"/>
        <v>3.201798877392304</v>
      </c>
      <c r="I78" s="26">
        <f t="shared" si="32"/>
        <v>4.932400932400933</v>
      </c>
      <c r="J78" s="26">
        <f>J40/N40-1</f>
        <v>0.5898698557861415</v>
      </c>
      <c r="K78" s="28">
        <f>K40/O40-1</f>
        <v>0.4187037295711691</v>
      </c>
      <c r="L78" s="26">
        <f>L40/7926-1</f>
        <v>0.8656320968962907</v>
      </c>
      <c r="M78" s="26">
        <f>M40/7175-1</f>
        <v>0.13602787456445986</v>
      </c>
      <c r="N78" s="26">
        <f>N40/5698-1</f>
        <v>-0.0021060021060020917</v>
      </c>
      <c r="O78" s="3">
        <f>O40/P40-1</f>
        <v>-0.17213067360508816</v>
      </c>
      <c r="P78" s="19">
        <f>(P40-15448)/15448</f>
        <v>0.11956240290005178</v>
      </c>
    </row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2017-06-16T16:04:24Z</dcterms:created>
  <dcterms:modified xsi:type="dcterms:W3CDTF">2017-06-16T16:04:45Z</dcterms:modified>
  <cp:category/>
  <cp:version/>
  <cp:contentType/>
  <cp:contentStatus/>
</cp:coreProperties>
</file>