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Banvivienda" sheetId="1" r:id="rId1"/>
  </sheets>
  <definedNames/>
  <calcPr fullCalcOnLoad="1"/>
</workbook>
</file>

<file path=xl/sharedStrings.xml><?xml version="1.0" encoding="utf-8"?>
<sst xmlns="http://schemas.openxmlformats.org/spreadsheetml/2006/main" count="89" uniqueCount="68">
  <si>
    <t>CUADRO No 18-11</t>
  </si>
  <si>
    <t>BANCO PANAMEÑO DE LA VIVIENDA</t>
  </si>
  <si>
    <t>ESTADISTICA FINANCIERA. TRIMESTRES  2000, 2001  Y 2002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</si>
  <si>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</si>
  <si>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</si>
  <si>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</si>
  <si>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</si>
  <si>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</si>
  <si>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</si>
  <si>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</si>
  <si>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</si>
  <si>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</si>
  <si>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</si>
  <si>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</si>
  <si>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</si>
  <si>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</si>
  <si>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</si>
  <si>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</si>
  <si>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</si>
  <si>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</si>
  <si>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</si>
  <si>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</si>
  <si>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</si>
  <si>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</si>
  <si>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</si>
  <si>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</si>
  <si>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</si>
  <si>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</si>
  <si>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</si>
  <si>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</si>
  <si>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</si>
  <si>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</si>
  <si>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</si>
  <si>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</si>
  <si>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</si>
  <si>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</si>
  <si>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</si>
  <si>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</si>
  <si>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 xml:space="preserve">Provisiones Cuentas Malas / Préstamos Vencidos </t>
  </si>
  <si>
    <t xml:space="preserve">Provisiones / Préstamos Totales </t>
  </si>
  <si>
    <t>Razones de Capital</t>
  </si>
  <si>
    <t>Patrimonio / Activos Generadores de Ingresos</t>
  </si>
  <si>
    <t>Patrimonio / 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</si>
  <si>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</si>
  <si>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</si>
  <si>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</si>
  <si>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</si>
  <si>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</si>
  <si>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</si>
  <si>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</si>
  <si>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</si>
  <si>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Gen. De Ing. (Promedio)</t>
  </si>
  <si>
    <t>Egresos Operaciones / Activos Gen. De Ing. (Promedio)</t>
  </si>
  <si>
    <t>Ingresos Netos por Intereses / Activos Gen. De Ing. (Promedio)</t>
  </si>
  <si>
    <t>Egresos Generales / Ingresos de Operaciones</t>
  </si>
  <si>
    <t>Otros Ingresos / Activos Gen. De Ing. (Promedio)</t>
  </si>
  <si>
    <t>Productividad</t>
  </si>
  <si>
    <t>Número de Empleados</t>
  </si>
  <si>
    <t>Sucursales</t>
  </si>
  <si>
    <t>Préstamos / Empleados</t>
  </si>
  <si>
    <t>Depósitos Totales / Empleados</t>
  </si>
  <si>
    <t>Utilidad Neta / Empleados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</si>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</sst>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6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B/.&quot;\ #,##0;&quot;B/.&quot;\ \-#,##0"/>
    <numFmt numFmtId="187" formatCode="&quot;B/.&quot;\ #,##0;[Red]&quot;B/.&quot;\ \-#,##0"/>
    <numFmt numFmtId="188" formatCode="&quot;B/.&quot;\ #,##0.00;&quot;B/.&quot;\ \-#,##0.00"/>
    <numFmt numFmtId="189" formatCode="&quot;B/.&quot;\ #,##0.00;[Red]&quot;B/.&quot;\ \-#,##0.00"/>
    <numFmt numFmtId="190" formatCode="_ &quot;B/.&quot;\ * #,##0_ ;_ &quot;B/.&quot;\ * \-#,##0_ ;_ &quot;B/.&quot;\ * &quot;-&quot;_ ;_ @_ "/>
    <numFmt numFmtId="191" formatCode="_ * #,##0_ ;_ * \-#,##0_ ;_ * &quot;-&quot;_ ;_ @_ "/>
    <numFmt numFmtId="192" formatCode="_ &quot;B/.&quot;\ * #,##0.00_ ;_ &quot;B/.&quot;\ * \-#,##0.00_ ;_ &quot;B/.&quot;\ * &quot;-&quot;??_ ;_ @_ "/>
    <numFmt numFmtId="193" formatCode="_ * #,##0.00_ ;_ * \-#,##0.00_ ;_ * &quot;-&quot;??_ ;_ @_ "/>
    <numFmt numFmtId="194" formatCode="_(* #,##0.0_);_(* \(#,##0.0\);_(* &quot;-&quot;??_);_(@_)"/>
    <numFmt numFmtId="195" formatCode="_(* #,##0_);_(* \(#,##0\);_(* &quot;-&quot;??_);_(@_)"/>
    <numFmt numFmtId="196" formatCode="_(* #,##0.000_);_(* \(#,##0.000\);_(* &quot;-&quot;??_);_(@_)"/>
    <numFmt numFmtId="197" formatCode="0.0%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000000000"/>
    <numFmt numFmtId="205" formatCode="0.00000000000"/>
    <numFmt numFmtId="206" formatCode="0.000000000"/>
    <numFmt numFmtId="207" formatCode="0.0"/>
    <numFmt numFmtId="208" formatCode="_ * #,##0.0_ ;_ * \-#,##0.0_ ;_ * &quot;-&quot;??_ ;_ @_ "/>
    <numFmt numFmtId="209" formatCode="_ * #,##0_ ;_ * \-#,##0_ ;_ * &quot;-&quot;??_ ;_ @_ "/>
    <numFmt numFmtId="210" formatCode="0.000%"/>
    <numFmt numFmtId="211" formatCode="0.0000%"/>
    <numFmt numFmtId="212" formatCode="0.00000%"/>
    <numFmt numFmtId="213" formatCode="0.000000%"/>
    <numFmt numFmtId="214" formatCode="_(* #,##0.0000_);_(* \(#,##0.0000\);_(* &quot;-&quot;??_);_(@_)"/>
    <numFmt numFmtId="215" formatCode="_ * #,##0.0_ ;_ * \-#,##0.0_ ;_ * &quot;-&quot;?_ ;_ @_ "/>
    <numFmt numFmtId="216" formatCode="#,##0_ ;\-#,##0\ "/>
    <numFmt numFmtId="217" formatCode="#,##0.00000_ ;\-#,##0.00000\ "/>
    <numFmt numFmtId="218" formatCode="#,##0.0000_ ;\-#,##0.0000\ "/>
    <numFmt numFmtId="219" formatCode="#,##0.000_ ;\-#,##0.000\ "/>
    <numFmt numFmtId="220" formatCode="#,##0.00_ ;\-#,##0.00\ "/>
    <numFmt numFmtId="221" formatCode="#,##0.0_ ;\-#,##0.0\ "/>
    <numFmt numFmtId="222" formatCode="_-* #,##0.0\ _€_-;\-* #,##0.0\ _€_-;_-* &quot;-&quot;??\ _€_-;_-@_-"/>
    <numFmt numFmtId="223" formatCode="_-* #,##0\ _€_-;\-* #,##0\ _€_-;_-* &quot;-&quot;??\ _€_-;_-@_-"/>
  </numFmts>
  <fonts count="38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Alignment="1">
      <alignment/>
    </xf>
    <xf numFmtId="195" fontId="1" fillId="0" borderId="0" xfId="46" applyNumberFormat="1" applyFont="1" applyAlignment="1">
      <alignment/>
    </xf>
    <xf numFmtId="195" fontId="3" fillId="0" borderId="0" xfId="46" applyNumberFormat="1" applyFont="1" applyAlignment="1">
      <alignment/>
    </xf>
    <xf numFmtId="195" fontId="3" fillId="0" borderId="10" xfId="46" applyNumberFormat="1" applyFont="1" applyBorder="1" applyAlignment="1">
      <alignment/>
    </xf>
    <xf numFmtId="195" fontId="3" fillId="0" borderId="0" xfId="46" applyNumberFormat="1" applyFont="1" applyBorder="1" applyAlignment="1">
      <alignment/>
    </xf>
    <xf numFmtId="49" fontId="3" fillId="0" borderId="11" xfId="46" applyNumberFormat="1" applyFont="1" applyBorder="1" applyAlignment="1">
      <alignment/>
    </xf>
    <xf numFmtId="49" fontId="3" fillId="0" borderId="0" xfId="46" applyNumberFormat="1" applyFont="1" applyAlignment="1">
      <alignment/>
    </xf>
    <xf numFmtId="195" fontId="3" fillId="0" borderId="10" xfId="46" applyNumberFormat="1" applyFont="1" applyBorder="1" applyAlignment="1">
      <alignment horizontal="center"/>
    </xf>
    <xf numFmtId="195" fontId="3" fillId="0" borderId="12" xfId="46" applyNumberFormat="1" applyFont="1" applyBorder="1" applyAlignment="1">
      <alignment horizontal="center"/>
    </xf>
    <xf numFmtId="195" fontId="3" fillId="0" borderId="13" xfId="46" applyNumberFormat="1" applyFont="1" applyBorder="1" applyAlignment="1">
      <alignment horizontal="center"/>
    </xf>
    <xf numFmtId="195" fontId="3" fillId="0" borderId="14" xfId="46" applyNumberFormat="1" applyFont="1" applyBorder="1" applyAlignment="1">
      <alignment horizontal="center"/>
    </xf>
    <xf numFmtId="195" fontId="3" fillId="0" borderId="10" xfId="46" applyNumberFormat="1" applyFont="1" applyBorder="1" applyAlignment="1">
      <alignment horizontal="right"/>
    </xf>
    <xf numFmtId="195" fontId="2" fillId="0" borderId="0" xfId="46" applyNumberFormat="1" applyFont="1" applyAlignment="1">
      <alignment/>
    </xf>
    <xf numFmtId="195" fontId="2" fillId="0" borderId="0" xfId="46" applyNumberFormat="1" applyFont="1" applyBorder="1" applyAlignment="1">
      <alignment/>
    </xf>
    <xf numFmtId="195" fontId="2" fillId="0" borderId="15" xfId="46" applyNumberFormat="1" applyFont="1" applyBorder="1" applyAlignment="1">
      <alignment/>
    </xf>
    <xf numFmtId="195" fontId="2" fillId="0" borderId="16" xfId="46" applyNumberFormat="1" applyFont="1" applyBorder="1" applyAlignment="1">
      <alignment/>
    </xf>
    <xf numFmtId="195" fontId="3" fillId="0" borderId="15" xfId="46" applyNumberFormat="1" applyFont="1" applyBorder="1" applyAlignment="1">
      <alignment/>
    </xf>
    <xf numFmtId="195" fontId="3" fillId="0" borderId="16" xfId="46" applyNumberFormat="1" applyFont="1" applyBorder="1" applyAlignment="1">
      <alignment/>
    </xf>
    <xf numFmtId="195" fontId="3" fillId="0" borderId="17" xfId="46" applyNumberFormat="1" applyFont="1" applyBorder="1" applyAlignment="1">
      <alignment/>
    </xf>
    <xf numFmtId="195" fontId="3" fillId="0" borderId="14" xfId="46" applyNumberFormat="1" applyFont="1" applyBorder="1" applyAlignment="1">
      <alignment/>
    </xf>
    <xf numFmtId="195" fontId="3" fillId="0" borderId="0" xfId="46" applyNumberFormat="1" applyFont="1" applyFill="1" applyAlignment="1">
      <alignment/>
    </xf>
    <xf numFmtId="10" fontId="3" fillId="0" borderId="0" xfId="52" applyNumberFormat="1" applyFont="1" applyBorder="1" applyAlignment="1">
      <alignment/>
    </xf>
    <xf numFmtId="10" fontId="3" fillId="0" borderId="15" xfId="52" applyNumberFormat="1" applyFont="1" applyBorder="1" applyAlignment="1">
      <alignment/>
    </xf>
    <xf numFmtId="10" fontId="3" fillId="0" borderId="0" xfId="52" applyNumberFormat="1" applyFont="1" applyAlignment="1">
      <alignment/>
    </xf>
    <xf numFmtId="10" fontId="3" fillId="0" borderId="16" xfId="52" applyNumberFormat="1" applyFont="1" applyBorder="1" applyAlignment="1">
      <alignment/>
    </xf>
    <xf numFmtId="10" fontId="3" fillId="0" borderId="10" xfId="52" applyNumberFormat="1" applyFont="1" applyBorder="1" applyAlignment="1">
      <alignment/>
    </xf>
    <xf numFmtId="10" fontId="3" fillId="0" borderId="17" xfId="52" applyNumberFormat="1" applyFont="1" applyBorder="1" applyAlignment="1">
      <alignment/>
    </xf>
    <xf numFmtId="10" fontId="3" fillId="0" borderId="14" xfId="52" applyNumberFormat="1" applyFont="1" applyBorder="1" applyAlignment="1">
      <alignment/>
    </xf>
    <xf numFmtId="10" fontId="3" fillId="0" borderId="11" xfId="52" applyNumberFormat="1" applyFont="1" applyBorder="1" applyAlignment="1">
      <alignment/>
    </xf>
    <xf numFmtId="195" fontId="3" fillId="0" borderId="0" xfId="46" applyNumberFormat="1" applyFont="1" applyFill="1" applyBorder="1" applyAlignment="1">
      <alignment/>
    </xf>
    <xf numFmtId="10" fontId="3" fillId="0" borderId="0" xfId="52" applyNumberFormat="1" applyFont="1" applyFill="1" applyBorder="1" applyAlignment="1">
      <alignment/>
    </xf>
    <xf numFmtId="195" fontId="2" fillId="0" borderId="0" xfId="46" applyNumberFormat="1" applyFont="1" applyAlignment="1">
      <alignment horizontal="center"/>
    </xf>
    <xf numFmtId="195" fontId="3" fillId="0" borderId="0" xfId="46" applyNumberFormat="1" applyFont="1" applyAlignment="1">
      <alignment horizontal="center"/>
    </xf>
    <xf numFmtId="195" fontId="3" fillId="0" borderId="17" xfId="46" applyNumberFormat="1" applyFont="1" applyBorder="1" applyAlignment="1">
      <alignment horizontal="center"/>
    </xf>
    <xf numFmtId="49" fontId="2" fillId="0" borderId="18" xfId="46" applyNumberFormat="1" applyFont="1" applyBorder="1" applyAlignment="1">
      <alignment horizontal="center"/>
    </xf>
    <xf numFmtId="49" fontId="2" fillId="0" borderId="12" xfId="46" applyNumberFormat="1" applyFont="1" applyBorder="1" applyAlignment="1">
      <alignment horizontal="center"/>
    </xf>
    <xf numFmtId="49" fontId="2" fillId="0" borderId="13" xfId="46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209550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72" sqref="M72"/>
    </sheetView>
  </sheetViews>
  <sheetFormatPr defaultColWidth="11.421875" defaultRowHeight="12.75"/>
  <cols>
    <col min="1" max="1" width="3.28125" style="1" customWidth="1"/>
    <col min="2" max="2" width="27.28125" style="1" customWidth="1"/>
    <col min="3" max="13" width="8.140625" style="1" bestFit="1" customWidth="1"/>
    <col min="14" max="14" width="8.00390625" style="1" customWidth="1"/>
    <col min="15" max="15" width="6.421875" style="1" hidden="1" customWidth="1"/>
    <col min="16" max="16" width="0.13671875" style="1" customWidth="1"/>
    <col min="17" max="16384" width="11.421875" style="1" customWidth="1"/>
  </cols>
  <sheetData>
    <row r="1" spans="2:16" s="2" customFormat="1" ht="11.25">
      <c r="B1" s="31"/>
      <c r="C1" s="31"/>
      <c r="D1" s="31"/>
      <c r="E1" s="31"/>
      <c r="F1" s="31"/>
      <c r="G1" s="31" t="s">
        <v>0</v>
      </c>
      <c r="H1" s="31"/>
      <c r="I1" s="31"/>
      <c r="J1" s="31"/>
      <c r="K1" s="31"/>
      <c r="L1" s="31"/>
      <c r="M1" s="31"/>
      <c r="N1" s="31"/>
      <c r="O1" s="31"/>
      <c r="P1" s="31"/>
    </row>
    <row r="2" spans="2:16" s="2" customFormat="1" ht="11.25">
      <c r="B2" s="31"/>
      <c r="C2" s="31"/>
      <c r="D2" s="31"/>
      <c r="E2" s="31"/>
      <c r="F2" s="31"/>
      <c r="G2" s="31" t="s">
        <v>1</v>
      </c>
      <c r="H2" s="31"/>
      <c r="I2" s="31"/>
      <c r="J2" s="31"/>
      <c r="K2" s="31"/>
      <c r="L2" s="31"/>
      <c r="M2" s="31"/>
      <c r="N2" s="31"/>
      <c r="O2" s="31"/>
      <c r="P2" s="31"/>
    </row>
    <row r="3" spans="2:16" s="2" customFormat="1" ht="11.25">
      <c r="B3" s="31"/>
      <c r="C3" s="31"/>
      <c r="D3" s="31"/>
      <c r="E3" s="31"/>
      <c r="F3" s="31"/>
      <c r="G3" s="31" t="s">
        <v>2</v>
      </c>
      <c r="H3" s="31"/>
      <c r="I3" s="31"/>
      <c r="J3" s="31"/>
      <c r="K3" s="31"/>
      <c r="L3" s="31"/>
      <c r="M3" s="31"/>
      <c r="N3" s="31"/>
      <c r="O3" s="31"/>
      <c r="P3" s="31"/>
    </row>
    <row r="4" spans="2:16" s="2" customFormat="1" ht="11.25">
      <c r="B4" s="32"/>
      <c r="C4" s="32"/>
      <c r="D4" s="32"/>
      <c r="E4" s="32"/>
      <c r="F4" s="32"/>
      <c r="G4" s="32" t="s">
        <v>3</v>
      </c>
      <c r="H4" s="32"/>
      <c r="I4" s="32"/>
      <c r="J4" s="32"/>
      <c r="K4" s="32"/>
      <c r="L4" s="32"/>
      <c r="M4" s="32"/>
      <c r="N4" s="32"/>
      <c r="O4" s="32"/>
      <c r="P4" s="32"/>
    </row>
    <row r="5" spans="2:16" s="2" customFormat="1" ht="11.2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s="2" customFormat="1" ht="11.25">
      <c r="A6" s="3"/>
      <c r="B6" s="3"/>
      <c r="C6" s="3"/>
      <c r="D6" s="3"/>
      <c r="E6" s="3"/>
      <c r="F6" s="3"/>
      <c r="G6" s="3"/>
      <c r="H6" s="3"/>
      <c r="I6" s="3"/>
      <c r="J6" s="3"/>
      <c r="K6" s="4"/>
      <c r="L6" s="4"/>
      <c r="M6" s="4"/>
      <c r="N6" s="4"/>
      <c r="O6" s="3"/>
      <c r="P6" s="3"/>
    </row>
    <row r="7" spans="1:16" s="6" customFormat="1" ht="11.25">
      <c r="A7" s="5"/>
      <c r="B7" s="5"/>
      <c r="C7" s="35">
        <v>2002</v>
      </c>
      <c r="D7" s="35"/>
      <c r="E7" s="35"/>
      <c r="F7" s="36"/>
      <c r="G7" s="34">
        <v>2001</v>
      </c>
      <c r="H7" s="35"/>
      <c r="I7" s="35"/>
      <c r="J7" s="36"/>
      <c r="K7" s="34">
        <v>2000</v>
      </c>
      <c r="L7" s="35"/>
      <c r="M7" s="35"/>
      <c r="N7" s="36"/>
      <c r="O7" s="35" t="s">
        <v>4</v>
      </c>
      <c r="P7" s="35"/>
    </row>
    <row r="8" spans="1:16" s="2" customFormat="1" ht="11.25">
      <c r="A8" s="7"/>
      <c r="B8" s="7"/>
      <c r="C8" s="7" t="s">
        <v>5</v>
      </c>
      <c r="D8" s="7" t="s">
        <v>6</v>
      </c>
      <c r="E8" s="8" t="s">
        <v>7</v>
      </c>
      <c r="F8" s="9" t="s">
        <v>8</v>
      </c>
      <c r="G8" s="7" t="s">
        <v>5</v>
      </c>
      <c r="H8" s="7" t="s">
        <v>6</v>
      </c>
      <c r="I8" s="7" t="s">
        <v>7</v>
      </c>
      <c r="J8" s="7" t="s">
        <v>8</v>
      </c>
      <c r="K8" s="10" t="s">
        <v>5</v>
      </c>
      <c r="L8" s="7" t="s">
        <v>6</v>
      </c>
      <c r="M8" s="7" t="s">
        <v>7</v>
      </c>
      <c r="N8" s="33" t="s">
        <v>8</v>
      </c>
      <c r="O8" s="11" t="s">
        <v>9</v>
      </c>
      <c r="P8" s="11" t="s">
        <v>10</v>
      </c>
    </row>
    <row r="9" spans="1:16" s="2" customFormat="1" ht="11.25">
      <c r="A9" s="12" t="s">
        <v>11</v>
      </c>
      <c r="B9" s="12"/>
      <c r="C9" s="12"/>
      <c r="D9" s="12"/>
      <c r="E9" s="13"/>
      <c r="F9" s="14"/>
      <c r="G9" s="12"/>
      <c r="H9" s="12"/>
      <c r="I9" s="12"/>
      <c r="J9" s="12"/>
      <c r="K9" s="15"/>
      <c r="L9" s="13"/>
      <c r="M9" s="13"/>
      <c r="N9" s="14"/>
      <c r="O9" s="12"/>
      <c r="P9" s="12"/>
    </row>
    <row r="10" spans="1:16" s="2" customFormat="1" ht="11.25">
      <c r="A10" s="2" t="s">
        <v>12</v>
      </c>
      <c r="C10" s="2">
        <v>124806</v>
      </c>
      <c r="D10" s="2">
        <v>118597</v>
      </c>
      <c r="E10" s="4">
        <v>121816</v>
      </c>
      <c r="F10" s="16">
        <v>121231</v>
      </c>
      <c r="G10" s="2">
        <v>129332</v>
      </c>
      <c r="H10" s="2">
        <v>129011</v>
      </c>
      <c r="I10" s="2">
        <v>125095</v>
      </c>
      <c r="J10" s="2">
        <v>117326</v>
      </c>
      <c r="K10" s="17">
        <v>120386</v>
      </c>
      <c r="L10" s="4">
        <v>117371</v>
      </c>
      <c r="M10" s="4">
        <v>107805</v>
      </c>
      <c r="N10" s="16">
        <v>108313</v>
      </c>
      <c r="O10" s="2">
        <v>109502</v>
      </c>
      <c r="P10" s="2">
        <v>105674</v>
      </c>
    </row>
    <row r="11" spans="1:16" s="2" customFormat="1" ht="11.25">
      <c r="A11" s="2" t="s">
        <v>13</v>
      </c>
      <c r="C11" s="2">
        <v>20564</v>
      </c>
      <c r="D11" s="2">
        <v>15335</v>
      </c>
      <c r="E11" s="4">
        <v>22171</v>
      </c>
      <c r="F11" s="16">
        <v>24367</v>
      </c>
      <c r="G11" s="2">
        <v>33318</v>
      </c>
      <c r="H11" s="2">
        <v>27326</v>
      </c>
      <c r="I11" s="2">
        <v>19912</v>
      </c>
      <c r="J11" s="2">
        <v>17845</v>
      </c>
      <c r="K11" s="17">
        <v>22681</v>
      </c>
      <c r="L11" s="4">
        <v>20186</v>
      </c>
      <c r="M11" s="4">
        <v>12241</v>
      </c>
      <c r="N11" s="16">
        <v>15058</v>
      </c>
      <c r="O11" s="2">
        <v>21878</v>
      </c>
      <c r="P11" s="2">
        <v>27753</v>
      </c>
    </row>
    <row r="12" spans="1:16" s="2" customFormat="1" ht="11.25">
      <c r="A12" s="2" t="s">
        <v>14</v>
      </c>
      <c r="C12" s="4">
        <f aca="true" t="shared" si="0" ref="C12:P12">C13+C14</f>
        <v>87126</v>
      </c>
      <c r="D12" s="4">
        <f t="shared" si="0"/>
        <v>86619</v>
      </c>
      <c r="E12" s="4">
        <f t="shared" si="0"/>
        <v>83318</v>
      </c>
      <c r="F12" s="16">
        <f t="shared" si="0"/>
        <v>81421</v>
      </c>
      <c r="G12" s="2">
        <f t="shared" si="0"/>
        <v>80965</v>
      </c>
      <c r="H12" s="2">
        <f t="shared" si="0"/>
        <v>86922</v>
      </c>
      <c r="I12" s="2">
        <f t="shared" si="0"/>
        <v>90415</v>
      </c>
      <c r="J12" s="2">
        <f t="shared" si="0"/>
        <v>85273</v>
      </c>
      <c r="K12" s="17">
        <f t="shared" si="0"/>
        <v>85046</v>
      </c>
      <c r="L12" s="4">
        <f t="shared" si="0"/>
        <v>86658</v>
      </c>
      <c r="M12" s="4">
        <f t="shared" si="0"/>
        <v>85150</v>
      </c>
      <c r="N12" s="16">
        <f t="shared" si="0"/>
        <v>82247</v>
      </c>
      <c r="O12" s="2">
        <f t="shared" si="0"/>
        <v>77157</v>
      </c>
      <c r="P12" s="2">
        <f t="shared" si="0"/>
        <v>66410</v>
      </c>
    </row>
    <row r="13" spans="2:16" s="2" customFormat="1" ht="11.25">
      <c r="B13" s="2" t="s">
        <v>15</v>
      </c>
      <c r="C13" s="2">
        <v>86979</v>
      </c>
      <c r="D13" s="2">
        <v>86463</v>
      </c>
      <c r="E13" s="4">
        <v>83152</v>
      </c>
      <c r="F13" s="16">
        <v>81240</v>
      </c>
      <c r="G13" s="2">
        <v>80776</v>
      </c>
      <c r="H13" s="2">
        <v>86753</v>
      </c>
      <c r="I13" s="2">
        <v>90339</v>
      </c>
      <c r="J13" s="2">
        <v>85191</v>
      </c>
      <c r="K13" s="17">
        <v>84966</v>
      </c>
      <c r="L13" s="4">
        <v>86574</v>
      </c>
      <c r="M13" s="4">
        <v>85060</v>
      </c>
      <c r="N13" s="16">
        <v>82188</v>
      </c>
      <c r="O13" s="2">
        <v>77093</v>
      </c>
      <c r="P13" s="2">
        <v>66333</v>
      </c>
    </row>
    <row r="14" spans="2:16" s="2" customFormat="1" ht="11.25">
      <c r="B14" s="2" t="s">
        <v>16</v>
      </c>
      <c r="C14" s="2">
        <v>147</v>
      </c>
      <c r="D14" s="2">
        <v>156</v>
      </c>
      <c r="E14" s="4">
        <v>166</v>
      </c>
      <c r="F14" s="16">
        <v>181</v>
      </c>
      <c r="G14" s="2">
        <v>189</v>
      </c>
      <c r="H14" s="2">
        <v>169</v>
      </c>
      <c r="I14" s="2">
        <v>76</v>
      </c>
      <c r="J14" s="2">
        <v>82</v>
      </c>
      <c r="K14" s="17">
        <v>80</v>
      </c>
      <c r="L14" s="4">
        <v>84</v>
      </c>
      <c r="M14" s="4">
        <v>90</v>
      </c>
      <c r="N14" s="16">
        <v>59</v>
      </c>
      <c r="O14" s="2">
        <v>64</v>
      </c>
      <c r="P14" s="2">
        <v>77</v>
      </c>
    </row>
    <row r="15" spans="1:16" s="2" customFormat="1" ht="11.25">
      <c r="A15" s="2" t="s">
        <v>17</v>
      </c>
      <c r="C15" s="2">
        <v>8992</v>
      </c>
      <c r="D15" s="2">
        <v>8306</v>
      </c>
      <c r="E15" s="4">
        <v>8320</v>
      </c>
      <c r="F15" s="16">
        <v>6041</v>
      </c>
      <c r="G15" s="2">
        <v>5975</v>
      </c>
      <c r="H15" s="2">
        <v>6017</v>
      </c>
      <c r="I15" s="2">
        <v>5526</v>
      </c>
      <c r="J15" s="2">
        <v>5526</v>
      </c>
      <c r="K15" s="17">
        <v>5526</v>
      </c>
      <c r="L15" s="4">
        <v>3662</v>
      </c>
      <c r="M15" s="4">
        <v>3933</v>
      </c>
      <c r="N15" s="16">
        <v>3433</v>
      </c>
      <c r="O15" s="2">
        <v>3433</v>
      </c>
      <c r="P15" s="2">
        <v>3333</v>
      </c>
    </row>
    <row r="16" spans="1:16" s="2" customFormat="1" ht="11.25">
      <c r="A16" s="2" t="s">
        <v>18</v>
      </c>
      <c r="C16" s="4">
        <f aca="true" t="shared" si="1" ref="C16:P16">C17+C21</f>
        <v>107234</v>
      </c>
      <c r="D16" s="4">
        <f t="shared" si="1"/>
        <v>104029</v>
      </c>
      <c r="E16" s="4">
        <f t="shared" si="1"/>
        <v>108008</v>
      </c>
      <c r="F16" s="16">
        <f t="shared" si="1"/>
        <v>106784</v>
      </c>
      <c r="G16" s="2">
        <f t="shared" si="1"/>
        <v>113991</v>
      </c>
      <c r="H16" s="2">
        <f t="shared" si="1"/>
        <v>114482</v>
      </c>
      <c r="I16" s="2">
        <f t="shared" si="1"/>
        <v>110667</v>
      </c>
      <c r="J16" s="2">
        <f t="shared" si="1"/>
        <v>103058</v>
      </c>
      <c r="K16" s="17">
        <f t="shared" si="1"/>
        <v>105188</v>
      </c>
      <c r="L16" s="4">
        <f t="shared" si="1"/>
        <v>102262</v>
      </c>
      <c r="M16" s="4">
        <f t="shared" si="1"/>
        <v>93444</v>
      </c>
      <c r="N16" s="16">
        <f t="shared" si="1"/>
        <v>93863</v>
      </c>
      <c r="O16" s="2">
        <f t="shared" si="1"/>
        <v>94338</v>
      </c>
      <c r="P16" s="2">
        <f t="shared" si="1"/>
        <v>88935</v>
      </c>
    </row>
    <row r="17" spans="2:16" s="2" customFormat="1" ht="11.25">
      <c r="B17" s="2" t="s">
        <v>15</v>
      </c>
      <c r="C17" s="4">
        <f aca="true" t="shared" si="2" ref="C17:P17">SUM(C18:C20)</f>
        <v>103797</v>
      </c>
      <c r="D17" s="4">
        <f t="shared" si="2"/>
        <v>100586</v>
      </c>
      <c r="E17" s="4">
        <f t="shared" si="2"/>
        <v>104559</v>
      </c>
      <c r="F17" s="16">
        <f t="shared" si="2"/>
        <v>101251</v>
      </c>
      <c r="G17" s="2">
        <f t="shared" si="2"/>
        <v>108459</v>
      </c>
      <c r="H17" s="2">
        <f t="shared" si="2"/>
        <v>108954</v>
      </c>
      <c r="I17" s="2">
        <f t="shared" si="2"/>
        <v>105159</v>
      </c>
      <c r="J17" s="2">
        <f t="shared" si="2"/>
        <v>97539</v>
      </c>
      <c r="K17" s="17">
        <f t="shared" si="2"/>
        <v>99647</v>
      </c>
      <c r="L17" s="4">
        <f t="shared" si="2"/>
        <v>96310</v>
      </c>
      <c r="M17" s="4">
        <f t="shared" si="2"/>
        <v>87507</v>
      </c>
      <c r="N17" s="16">
        <f t="shared" si="2"/>
        <v>88068</v>
      </c>
      <c r="O17" s="2">
        <f t="shared" si="2"/>
        <v>92763</v>
      </c>
      <c r="P17" s="2">
        <f t="shared" si="2"/>
        <v>87166</v>
      </c>
    </row>
    <row r="18" spans="2:16" s="2" customFormat="1" ht="11.25">
      <c r="B18" s="2" t="s">
        <v>19</v>
      </c>
      <c r="C18" s="2">
        <v>0</v>
      </c>
      <c r="D18" s="2">
        <v>0</v>
      </c>
      <c r="E18" s="4">
        <v>0</v>
      </c>
      <c r="F18" s="16">
        <v>0</v>
      </c>
      <c r="G18" s="2">
        <v>0</v>
      </c>
      <c r="H18" s="2">
        <v>0</v>
      </c>
      <c r="I18" s="2">
        <v>0</v>
      </c>
      <c r="J18" s="2">
        <v>0</v>
      </c>
      <c r="K18" s="17">
        <v>0</v>
      </c>
      <c r="L18" s="4">
        <v>0</v>
      </c>
      <c r="M18" s="4">
        <v>0</v>
      </c>
      <c r="N18" s="16">
        <v>0</v>
      </c>
      <c r="O18" s="2">
        <v>0</v>
      </c>
      <c r="P18" s="2">
        <v>0</v>
      </c>
    </row>
    <row r="19" spans="2:16" s="2" customFormat="1" ht="11.25">
      <c r="B19" s="2" t="s">
        <v>20</v>
      </c>
      <c r="C19" s="2">
        <v>96340</v>
      </c>
      <c r="D19" s="2">
        <v>92966</v>
      </c>
      <c r="E19" s="4">
        <v>94112</v>
      </c>
      <c r="F19" s="16">
        <v>90340</v>
      </c>
      <c r="G19" s="2">
        <v>95501</v>
      </c>
      <c r="H19" s="2">
        <v>94854</v>
      </c>
      <c r="I19" s="2">
        <v>89759</v>
      </c>
      <c r="J19" s="2">
        <v>81739</v>
      </c>
      <c r="K19" s="17">
        <v>83844</v>
      </c>
      <c r="L19" s="4">
        <v>79480</v>
      </c>
      <c r="M19" s="4">
        <v>76757</v>
      </c>
      <c r="N19" s="16">
        <v>77018</v>
      </c>
      <c r="O19" s="2">
        <v>80407</v>
      </c>
      <c r="P19" s="2">
        <v>78866</v>
      </c>
    </row>
    <row r="20" spans="2:16" s="2" customFormat="1" ht="11.25">
      <c r="B20" s="2" t="s">
        <v>21</v>
      </c>
      <c r="C20" s="2">
        <v>7457</v>
      </c>
      <c r="D20" s="2">
        <v>7620</v>
      </c>
      <c r="E20" s="4">
        <v>10447</v>
      </c>
      <c r="F20" s="16">
        <v>10911</v>
      </c>
      <c r="G20" s="2">
        <v>12958</v>
      </c>
      <c r="H20" s="2">
        <v>14100</v>
      </c>
      <c r="I20" s="2">
        <v>15400</v>
      </c>
      <c r="J20" s="2">
        <v>15800</v>
      </c>
      <c r="K20" s="17">
        <v>15803</v>
      </c>
      <c r="L20" s="4">
        <v>16830</v>
      </c>
      <c r="M20" s="4">
        <v>10750</v>
      </c>
      <c r="N20" s="16">
        <v>11050</v>
      </c>
      <c r="O20" s="2">
        <v>12356</v>
      </c>
      <c r="P20" s="2">
        <v>8300</v>
      </c>
    </row>
    <row r="21" spans="2:16" s="2" customFormat="1" ht="11.25">
      <c r="B21" s="2" t="s">
        <v>16</v>
      </c>
      <c r="C21" s="2">
        <f>SUM(C22:C24)</f>
        <v>3437</v>
      </c>
      <c r="D21" s="4">
        <f aca="true" t="shared" si="3" ref="D21:P21">SUM(D23:D24)</f>
        <v>3443</v>
      </c>
      <c r="E21" s="4">
        <f t="shared" si="3"/>
        <v>3449</v>
      </c>
      <c r="F21" s="16">
        <f t="shared" si="3"/>
        <v>5533</v>
      </c>
      <c r="G21" s="2">
        <f t="shared" si="3"/>
        <v>5532</v>
      </c>
      <c r="H21" s="2">
        <f t="shared" si="3"/>
        <v>5528</v>
      </c>
      <c r="I21" s="2">
        <f t="shared" si="3"/>
        <v>5508</v>
      </c>
      <c r="J21" s="2">
        <f t="shared" si="3"/>
        <v>5519</v>
      </c>
      <c r="K21" s="17">
        <f t="shared" si="3"/>
        <v>5541</v>
      </c>
      <c r="L21" s="4">
        <f t="shared" si="3"/>
        <v>5952</v>
      </c>
      <c r="M21" s="4">
        <f t="shared" si="3"/>
        <v>5937</v>
      </c>
      <c r="N21" s="16">
        <f t="shared" si="3"/>
        <v>5795</v>
      </c>
      <c r="O21" s="2">
        <f t="shared" si="3"/>
        <v>1575</v>
      </c>
      <c r="P21" s="2">
        <f t="shared" si="3"/>
        <v>1769</v>
      </c>
    </row>
    <row r="22" spans="2:14" s="2" customFormat="1" ht="11.25">
      <c r="B22" s="2" t="s">
        <v>19</v>
      </c>
      <c r="C22" s="2">
        <v>0</v>
      </c>
      <c r="D22" s="4">
        <v>0</v>
      </c>
      <c r="E22" s="4">
        <v>0</v>
      </c>
      <c r="F22" s="16">
        <v>0</v>
      </c>
      <c r="G22" s="2">
        <v>0</v>
      </c>
      <c r="H22" s="2">
        <v>0</v>
      </c>
      <c r="I22" s="2">
        <v>0</v>
      </c>
      <c r="J22" s="2">
        <v>0</v>
      </c>
      <c r="K22" s="17">
        <v>0</v>
      </c>
      <c r="L22" s="4">
        <v>0</v>
      </c>
      <c r="M22" s="4">
        <v>0</v>
      </c>
      <c r="N22" s="16">
        <v>0</v>
      </c>
    </row>
    <row r="23" spans="2:16" s="2" customFormat="1" ht="11.25">
      <c r="B23" s="2" t="s">
        <v>20</v>
      </c>
      <c r="C23" s="2">
        <v>3437</v>
      </c>
      <c r="D23" s="2">
        <v>3443</v>
      </c>
      <c r="E23" s="4">
        <v>3449</v>
      </c>
      <c r="F23" s="16">
        <v>5533</v>
      </c>
      <c r="G23" s="2">
        <v>5532</v>
      </c>
      <c r="H23" s="2">
        <v>5528</v>
      </c>
      <c r="I23" s="2">
        <v>5508</v>
      </c>
      <c r="J23" s="2">
        <v>5519</v>
      </c>
      <c r="K23" s="17">
        <v>5541</v>
      </c>
      <c r="L23" s="4">
        <v>5952</v>
      </c>
      <c r="M23" s="4">
        <v>5937</v>
      </c>
      <c r="N23" s="16">
        <v>5795</v>
      </c>
      <c r="O23" s="2">
        <v>1575</v>
      </c>
      <c r="P23" s="2">
        <v>1769</v>
      </c>
    </row>
    <row r="24" spans="2:16" s="2" customFormat="1" ht="11.25">
      <c r="B24" s="2" t="s">
        <v>21</v>
      </c>
      <c r="C24" s="2">
        <v>0</v>
      </c>
      <c r="D24" s="2">
        <v>0</v>
      </c>
      <c r="E24" s="4">
        <v>0</v>
      </c>
      <c r="F24" s="16">
        <v>0</v>
      </c>
      <c r="G24" s="2">
        <v>0</v>
      </c>
      <c r="H24" s="2">
        <v>0</v>
      </c>
      <c r="I24" s="2">
        <v>0</v>
      </c>
      <c r="J24" s="2">
        <v>0</v>
      </c>
      <c r="K24" s="17">
        <v>0</v>
      </c>
      <c r="L24" s="4">
        <v>0</v>
      </c>
      <c r="M24" s="4">
        <v>0</v>
      </c>
      <c r="N24" s="16">
        <v>0</v>
      </c>
      <c r="O24" s="2">
        <v>0</v>
      </c>
      <c r="P24" s="2">
        <v>0</v>
      </c>
    </row>
    <row r="25" spans="1:16" s="2" customFormat="1" ht="11.25">
      <c r="A25" s="3" t="s">
        <v>22</v>
      </c>
      <c r="B25" s="3"/>
      <c r="C25" s="3">
        <v>12101</v>
      </c>
      <c r="D25" s="3">
        <v>11891</v>
      </c>
      <c r="E25" s="3">
        <v>11774</v>
      </c>
      <c r="F25" s="18">
        <v>11673</v>
      </c>
      <c r="G25" s="3">
        <v>12111</v>
      </c>
      <c r="H25" s="3">
        <v>11875</v>
      </c>
      <c r="I25" s="3">
        <v>11763</v>
      </c>
      <c r="J25" s="3">
        <v>11623</v>
      </c>
      <c r="K25" s="19">
        <v>12079</v>
      </c>
      <c r="L25" s="3">
        <v>11796</v>
      </c>
      <c r="M25" s="3">
        <v>11555</v>
      </c>
      <c r="N25" s="18">
        <v>11321</v>
      </c>
      <c r="O25" s="3">
        <v>12048</v>
      </c>
      <c r="P25" s="3">
        <v>10972</v>
      </c>
    </row>
    <row r="26" spans="1:14" s="2" customFormat="1" ht="11.25">
      <c r="A26" s="12" t="s">
        <v>23</v>
      </c>
      <c r="E26" s="4"/>
      <c r="F26" s="16"/>
      <c r="K26" s="17"/>
      <c r="L26" s="4"/>
      <c r="M26" s="4"/>
      <c r="N26" s="16"/>
    </row>
    <row r="27" spans="1:16" s="2" customFormat="1" ht="11.25">
      <c r="A27" s="2" t="s">
        <v>12</v>
      </c>
      <c r="C27" s="4">
        <f aca="true" t="shared" si="4" ref="C27:I27">(C10+G10)/2</f>
        <v>127069</v>
      </c>
      <c r="D27" s="4">
        <f t="shared" si="4"/>
        <v>123804</v>
      </c>
      <c r="E27" s="4">
        <f t="shared" si="4"/>
        <v>123455.5</v>
      </c>
      <c r="F27" s="16">
        <f t="shared" si="4"/>
        <v>119278.5</v>
      </c>
      <c r="G27" s="2">
        <f t="shared" si="4"/>
        <v>124859</v>
      </c>
      <c r="H27" s="2">
        <f t="shared" si="4"/>
        <v>123191</v>
      </c>
      <c r="I27" s="2">
        <f t="shared" si="4"/>
        <v>116450</v>
      </c>
      <c r="J27" s="2">
        <f>+(J10+N10)/2</f>
        <v>112819.5</v>
      </c>
      <c r="K27" s="17">
        <f>+(K10+O10)/2</f>
        <v>114944</v>
      </c>
      <c r="L27" s="4">
        <v>111185</v>
      </c>
      <c r="M27" s="4">
        <v>104032</v>
      </c>
      <c r="N27" s="16">
        <v>104165</v>
      </c>
      <c r="O27" s="2">
        <f>(O10+P10)/2</f>
        <v>107588</v>
      </c>
      <c r="P27" s="2">
        <v>98036</v>
      </c>
    </row>
    <row r="28" spans="1:16" s="2" customFormat="1" ht="11.25">
      <c r="A28" s="2" t="s">
        <v>24</v>
      </c>
      <c r="C28" s="4">
        <f aca="true" t="shared" si="5" ref="C28:P28">C29+C30</f>
        <v>91529</v>
      </c>
      <c r="D28" s="4">
        <f t="shared" si="5"/>
        <v>93932</v>
      </c>
      <c r="E28" s="4">
        <f t="shared" si="5"/>
        <v>93789.5</v>
      </c>
      <c r="F28" s="16">
        <f t="shared" si="5"/>
        <v>89130.5</v>
      </c>
      <c r="G28" s="2">
        <f t="shared" si="5"/>
        <v>88756</v>
      </c>
      <c r="H28" s="2">
        <f t="shared" si="5"/>
        <v>91629.5</v>
      </c>
      <c r="I28" s="2">
        <f t="shared" si="5"/>
        <v>92512</v>
      </c>
      <c r="J28" s="2">
        <f t="shared" si="5"/>
        <v>88239.5</v>
      </c>
      <c r="K28" s="17">
        <f t="shared" si="5"/>
        <v>85581</v>
      </c>
      <c r="L28" s="4">
        <f t="shared" si="5"/>
        <v>84148</v>
      </c>
      <c r="M28" s="4">
        <f t="shared" si="5"/>
        <v>80637</v>
      </c>
      <c r="N28" s="16">
        <f t="shared" si="5"/>
        <v>78294</v>
      </c>
      <c r="O28" s="2">
        <f t="shared" si="5"/>
        <v>75166.5</v>
      </c>
      <c r="P28" s="2">
        <f t="shared" si="5"/>
        <v>65789</v>
      </c>
    </row>
    <row r="29" spans="2:16" s="2" customFormat="1" ht="11.25">
      <c r="B29" s="2" t="s">
        <v>14</v>
      </c>
      <c r="C29" s="4">
        <f aca="true" t="shared" si="6" ref="C29:I29">(C12+G12)/2</f>
        <v>84045.5</v>
      </c>
      <c r="D29" s="4">
        <f t="shared" si="6"/>
        <v>86770.5</v>
      </c>
      <c r="E29" s="4">
        <f t="shared" si="6"/>
        <v>86866.5</v>
      </c>
      <c r="F29" s="16">
        <f t="shared" si="6"/>
        <v>83347</v>
      </c>
      <c r="G29" s="2">
        <f t="shared" si="6"/>
        <v>83005.5</v>
      </c>
      <c r="H29" s="2">
        <f t="shared" si="6"/>
        <v>86790</v>
      </c>
      <c r="I29" s="2">
        <f t="shared" si="6"/>
        <v>87782.5</v>
      </c>
      <c r="J29" s="2">
        <f>+(J12+N12)/2</f>
        <v>83760</v>
      </c>
      <c r="K29" s="17">
        <f>+(K12+O12)/2</f>
        <v>81101.5</v>
      </c>
      <c r="L29" s="4">
        <v>80594</v>
      </c>
      <c r="M29" s="4">
        <v>76948</v>
      </c>
      <c r="N29" s="16">
        <v>74855</v>
      </c>
      <c r="O29" s="2">
        <f>(O12+P12)/2</f>
        <v>71783.5</v>
      </c>
      <c r="P29" s="2">
        <v>63176</v>
      </c>
    </row>
    <row r="30" spans="2:16" s="2" customFormat="1" ht="11.25">
      <c r="B30" s="2" t="s">
        <v>17</v>
      </c>
      <c r="C30" s="4">
        <f aca="true" t="shared" si="7" ref="C30:I30">(C15+G15)/2</f>
        <v>7483.5</v>
      </c>
      <c r="D30" s="4">
        <f t="shared" si="7"/>
        <v>7161.5</v>
      </c>
      <c r="E30" s="4">
        <f t="shared" si="7"/>
        <v>6923</v>
      </c>
      <c r="F30" s="16">
        <f t="shared" si="7"/>
        <v>5783.5</v>
      </c>
      <c r="G30" s="2">
        <f t="shared" si="7"/>
        <v>5750.5</v>
      </c>
      <c r="H30" s="2">
        <f t="shared" si="7"/>
        <v>4839.5</v>
      </c>
      <c r="I30" s="2">
        <f t="shared" si="7"/>
        <v>4729.5</v>
      </c>
      <c r="J30" s="2">
        <f>+(J15+N15)/2</f>
        <v>4479.5</v>
      </c>
      <c r="K30" s="17">
        <f>+(K15+O15)/2</f>
        <v>4479.5</v>
      </c>
      <c r="L30" s="4">
        <v>3554</v>
      </c>
      <c r="M30" s="4">
        <v>3689</v>
      </c>
      <c r="N30" s="16">
        <v>3439</v>
      </c>
      <c r="O30" s="2">
        <f>(O15+P15)/2</f>
        <v>3383</v>
      </c>
      <c r="P30" s="2">
        <v>2613</v>
      </c>
    </row>
    <row r="31" spans="1:16" s="2" customFormat="1" ht="11.25">
      <c r="A31" s="3" t="s">
        <v>22</v>
      </c>
      <c r="B31" s="3"/>
      <c r="C31" s="3">
        <f aca="true" t="shared" si="8" ref="C31:I31">(C25+G25)/2</f>
        <v>12106</v>
      </c>
      <c r="D31" s="3">
        <f t="shared" si="8"/>
        <v>11883</v>
      </c>
      <c r="E31" s="3">
        <f t="shared" si="8"/>
        <v>11768.5</v>
      </c>
      <c r="F31" s="18">
        <f t="shared" si="8"/>
        <v>11648</v>
      </c>
      <c r="G31" s="3">
        <f t="shared" si="8"/>
        <v>12095</v>
      </c>
      <c r="H31" s="3">
        <f t="shared" si="8"/>
        <v>11835.5</v>
      </c>
      <c r="I31" s="3">
        <f t="shared" si="8"/>
        <v>11659</v>
      </c>
      <c r="J31" s="3">
        <f>+(J25+N25)/2</f>
        <v>11472</v>
      </c>
      <c r="K31" s="19">
        <f>+(K25+O25)/2</f>
        <v>12063.5</v>
      </c>
      <c r="L31" s="3">
        <v>11483</v>
      </c>
      <c r="M31" s="3">
        <v>11136</v>
      </c>
      <c r="N31" s="18">
        <v>10870</v>
      </c>
      <c r="O31" s="3">
        <f>(O25+P25)/2</f>
        <v>11510</v>
      </c>
      <c r="P31" s="3">
        <v>9012</v>
      </c>
    </row>
    <row r="32" spans="1:14" s="2" customFormat="1" ht="11.25">
      <c r="A32" s="12" t="s">
        <v>25</v>
      </c>
      <c r="E32" s="4"/>
      <c r="F32" s="16"/>
      <c r="K32" s="17"/>
      <c r="L32" s="4"/>
      <c r="M32" s="4"/>
      <c r="N32" s="16"/>
    </row>
    <row r="33" spans="1:16" s="2" customFormat="1" ht="11.25">
      <c r="A33" s="2" t="s">
        <v>26</v>
      </c>
      <c r="C33" s="2">
        <v>8623</v>
      </c>
      <c r="D33" s="2">
        <v>6491</v>
      </c>
      <c r="E33" s="4">
        <v>4267</v>
      </c>
      <c r="F33" s="16">
        <v>2158</v>
      </c>
      <c r="G33" s="2">
        <v>9775</v>
      </c>
      <c r="H33" s="2">
        <v>7446</v>
      </c>
      <c r="I33" s="2">
        <v>4929</v>
      </c>
      <c r="J33" s="2">
        <v>2446</v>
      </c>
      <c r="K33" s="17">
        <v>10052</v>
      </c>
      <c r="L33" s="4">
        <v>7215</v>
      </c>
      <c r="M33" s="4">
        <v>4563</v>
      </c>
      <c r="N33" s="16">
        <v>2241</v>
      </c>
      <c r="O33" s="2">
        <v>9881</v>
      </c>
      <c r="P33" s="2">
        <v>9570</v>
      </c>
    </row>
    <row r="34" spans="1:16" s="2" customFormat="1" ht="11.25">
      <c r="A34" s="2" t="s">
        <v>27</v>
      </c>
      <c r="C34" s="2">
        <v>6147</v>
      </c>
      <c r="D34" s="2">
        <v>4688</v>
      </c>
      <c r="E34" s="4">
        <v>3201</v>
      </c>
      <c r="F34" s="16">
        <v>1651</v>
      </c>
      <c r="G34" s="2">
        <v>7668</v>
      </c>
      <c r="H34" s="2">
        <v>5805</v>
      </c>
      <c r="I34" s="2">
        <v>3826</v>
      </c>
      <c r="J34" s="2">
        <v>1872</v>
      </c>
      <c r="K34" s="17">
        <v>7234</v>
      </c>
      <c r="L34" s="4">
        <v>5275</v>
      </c>
      <c r="M34" s="4">
        <v>3427</v>
      </c>
      <c r="N34" s="16">
        <v>1689</v>
      </c>
      <c r="O34" s="2">
        <v>5394</v>
      </c>
      <c r="P34" s="2">
        <v>6017</v>
      </c>
    </row>
    <row r="35" spans="1:16" s="2" customFormat="1" ht="11.25">
      <c r="A35" s="2" t="s">
        <v>28</v>
      </c>
      <c r="C35" s="4">
        <f>+C33-C34</f>
        <v>2476</v>
      </c>
      <c r="D35" s="4">
        <f>+D33-D34</f>
        <v>1803</v>
      </c>
      <c r="E35" s="4">
        <f>+E33-E34</f>
        <v>1066</v>
      </c>
      <c r="F35" s="16">
        <f>+F33-F34</f>
        <v>507</v>
      </c>
      <c r="G35" s="2">
        <f aca="true" t="shared" si="9" ref="G35:P35">G33-G34</f>
        <v>2107</v>
      </c>
      <c r="H35" s="2">
        <f t="shared" si="9"/>
        <v>1641</v>
      </c>
      <c r="I35" s="2">
        <f t="shared" si="9"/>
        <v>1103</v>
      </c>
      <c r="J35" s="2">
        <f t="shared" si="9"/>
        <v>574</v>
      </c>
      <c r="K35" s="17">
        <f t="shared" si="9"/>
        <v>2818</v>
      </c>
      <c r="L35" s="4">
        <f t="shared" si="9"/>
        <v>1940</v>
      </c>
      <c r="M35" s="4">
        <f t="shared" si="9"/>
        <v>1136</v>
      </c>
      <c r="N35" s="16">
        <f t="shared" si="9"/>
        <v>552</v>
      </c>
      <c r="O35" s="2">
        <f t="shared" si="9"/>
        <v>4487</v>
      </c>
      <c r="P35" s="2">
        <f t="shared" si="9"/>
        <v>3553</v>
      </c>
    </row>
    <row r="36" spans="1:16" s="2" customFormat="1" ht="11.25">
      <c r="A36" s="2" t="s">
        <v>29</v>
      </c>
      <c r="C36" s="2">
        <v>841</v>
      </c>
      <c r="D36" s="2">
        <v>620</v>
      </c>
      <c r="E36" s="4">
        <v>393</v>
      </c>
      <c r="F36" s="16">
        <v>212</v>
      </c>
      <c r="G36" s="2">
        <v>946</v>
      </c>
      <c r="H36" s="2">
        <v>679</v>
      </c>
      <c r="I36" s="2">
        <v>483</v>
      </c>
      <c r="J36" s="2">
        <v>227</v>
      </c>
      <c r="K36" s="17">
        <v>1119</v>
      </c>
      <c r="L36" s="4">
        <v>880</v>
      </c>
      <c r="M36" s="4">
        <v>599</v>
      </c>
      <c r="N36" s="16">
        <v>320</v>
      </c>
      <c r="O36" s="2">
        <v>1122</v>
      </c>
      <c r="P36" s="2">
        <v>732</v>
      </c>
    </row>
    <row r="37" spans="1:16" s="2" customFormat="1" ht="11.25">
      <c r="A37" s="2" t="s">
        <v>30</v>
      </c>
      <c r="C37" s="4">
        <f>+C36+C35</f>
        <v>3317</v>
      </c>
      <c r="D37" s="4">
        <f>+D36+D35</f>
        <v>2423</v>
      </c>
      <c r="E37" s="4">
        <f>+E36+E35</f>
        <v>1459</v>
      </c>
      <c r="F37" s="16">
        <f>+F36+F35</f>
        <v>719</v>
      </c>
      <c r="G37" s="2">
        <f aca="true" t="shared" si="10" ref="G37:P37">G35+G36</f>
        <v>3053</v>
      </c>
      <c r="H37" s="2">
        <f t="shared" si="10"/>
        <v>2320</v>
      </c>
      <c r="I37" s="2">
        <f t="shared" si="10"/>
        <v>1586</v>
      </c>
      <c r="J37" s="2">
        <f t="shared" si="10"/>
        <v>801</v>
      </c>
      <c r="K37" s="17">
        <f t="shared" si="10"/>
        <v>3937</v>
      </c>
      <c r="L37" s="4">
        <f t="shared" si="10"/>
        <v>2820</v>
      </c>
      <c r="M37" s="4">
        <f t="shared" si="10"/>
        <v>1735</v>
      </c>
      <c r="N37" s="16">
        <f t="shared" si="10"/>
        <v>872</v>
      </c>
      <c r="O37" s="2">
        <f t="shared" si="10"/>
        <v>5609</v>
      </c>
      <c r="P37" s="2">
        <f t="shared" si="10"/>
        <v>4285</v>
      </c>
    </row>
    <row r="38" spans="1:16" s="2" customFormat="1" ht="11.25">
      <c r="A38" s="2" t="s">
        <v>31</v>
      </c>
      <c r="C38" s="2">
        <v>2621</v>
      </c>
      <c r="D38" s="2">
        <v>1947</v>
      </c>
      <c r="E38" s="4">
        <v>1205</v>
      </c>
      <c r="F38" s="16">
        <v>613</v>
      </c>
      <c r="G38" s="2">
        <v>2445</v>
      </c>
      <c r="H38" s="2">
        <v>1860</v>
      </c>
      <c r="I38" s="2">
        <v>1257</v>
      </c>
      <c r="J38" s="2">
        <v>639</v>
      </c>
      <c r="K38" s="17">
        <v>2816</v>
      </c>
      <c r="L38" s="4">
        <v>2117</v>
      </c>
      <c r="M38" s="4">
        <v>1284</v>
      </c>
      <c r="N38" s="16">
        <v>666</v>
      </c>
      <c r="O38" s="2">
        <v>2882</v>
      </c>
      <c r="P38" s="2">
        <v>2743</v>
      </c>
    </row>
    <row r="39" spans="1:16" s="2" customFormat="1" ht="11.25">
      <c r="A39" s="2" t="s">
        <v>32</v>
      </c>
      <c r="C39" s="4">
        <f>+C37-C38</f>
        <v>696</v>
      </c>
      <c r="D39" s="4">
        <f>+D37-D38</f>
        <v>476</v>
      </c>
      <c r="E39" s="4">
        <f>+E37-E38</f>
        <v>254</v>
      </c>
      <c r="F39" s="16">
        <f>+F37-F38</f>
        <v>106</v>
      </c>
      <c r="G39" s="2">
        <f aca="true" t="shared" si="11" ref="G39:P39">G37-G38</f>
        <v>608</v>
      </c>
      <c r="H39" s="2">
        <f t="shared" si="11"/>
        <v>460</v>
      </c>
      <c r="I39" s="2">
        <f t="shared" si="11"/>
        <v>329</v>
      </c>
      <c r="J39" s="2">
        <f t="shared" si="11"/>
        <v>162</v>
      </c>
      <c r="K39" s="17">
        <f t="shared" si="11"/>
        <v>1121</v>
      </c>
      <c r="L39" s="4">
        <f t="shared" si="11"/>
        <v>703</v>
      </c>
      <c r="M39" s="4">
        <f t="shared" si="11"/>
        <v>451</v>
      </c>
      <c r="N39" s="16">
        <f t="shared" si="11"/>
        <v>206</v>
      </c>
      <c r="O39" s="2">
        <f t="shared" si="11"/>
        <v>2727</v>
      </c>
      <c r="P39" s="2">
        <f t="shared" si="11"/>
        <v>1542</v>
      </c>
    </row>
    <row r="40" spans="1:16" s="2" customFormat="1" ht="11.25">
      <c r="A40" s="3" t="s">
        <v>33</v>
      </c>
      <c r="B40" s="3"/>
      <c r="C40" s="3">
        <v>502</v>
      </c>
      <c r="D40" s="3">
        <v>321</v>
      </c>
      <c r="E40" s="3">
        <v>204</v>
      </c>
      <c r="F40" s="18">
        <f>+F39-25</f>
        <v>81</v>
      </c>
      <c r="G40" s="3">
        <v>528</v>
      </c>
      <c r="H40" s="3">
        <v>415</v>
      </c>
      <c r="I40" s="3">
        <v>304</v>
      </c>
      <c r="J40" s="3">
        <v>149</v>
      </c>
      <c r="K40" s="19">
        <v>1081</v>
      </c>
      <c r="L40" s="3">
        <v>667</v>
      </c>
      <c r="M40" s="3">
        <v>427</v>
      </c>
      <c r="N40" s="18">
        <v>194</v>
      </c>
      <c r="O40" s="3">
        <v>2702</v>
      </c>
      <c r="P40" s="3">
        <v>1504</v>
      </c>
    </row>
    <row r="41" spans="1:14" s="2" customFormat="1" ht="11.25">
      <c r="A41" s="12" t="s">
        <v>34</v>
      </c>
      <c r="E41" s="4"/>
      <c r="F41" s="16"/>
      <c r="K41" s="17"/>
      <c r="L41" s="4"/>
      <c r="M41" s="4"/>
      <c r="N41" s="16"/>
    </row>
    <row r="42" spans="1:16" s="2" customFormat="1" ht="11.25">
      <c r="A42" s="2" t="s">
        <v>35</v>
      </c>
      <c r="C42" s="20">
        <v>5558</v>
      </c>
      <c r="D42" s="2">
        <v>6259</v>
      </c>
      <c r="E42" s="4">
        <v>6854</v>
      </c>
      <c r="F42" s="16">
        <v>6064</v>
      </c>
      <c r="G42" s="2">
        <v>159</v>
      </c>
      <c r="H42" s="2">
        <v>159</v>
      </c>
      <c r="I42" s="2">
        <v>177</v>
      </c>
      <c r="J42" s="2">
        <v>188</v>
      </c>
      <c r="K42" s="17">
        <v>1498</v>
      </c>
      <c r="L42" s="4">
        <v>1654</v>
      </c>
      <c r="M42" s="4">
        <v>1459</v>
      </c>
      <c r="N42" s="16">
        <v>559</v>
      </c>
      <c r="O42" s="2">
        <v>77</v>
      </c>
      <c r="P42" s="2">
        <v>0</v>
      </c>
    </row>
    <row r="43" spans="1:16" s="2" customFormat="1" ht="11.25">
      <c r="A43" s="2" t="s">
        <v>36</v>
      </c>
      <c r="C43" s="2">
        <v>609</v>
      </c>
      <c r="D43" s="2">
        <v>576</v>
      </c>
      <c r="E43" s="4">
        <v>493</v>
      </c>
      <c r="F43" s="16">
        <v>471</v>
      </c>
      <c r="G43" s="2">
        <v>322</v>
      </c>
      <c r="H43" s="2">
        <v>287</v>
      </c>
      <c r="I43" s="2">
        <v>242</v>
      </c>
      <c r="J43" s="2">
        <v>230</v>
      </c>
      <c r="K43" s="17">
        <v>230</v>
      </c>
      <c r="L43" s="4">
        <v>0</v>
      </c>
      <c r="M43" s="4">
        <v>0</v>
      </c>
      <c r="N43" s="16">
        <v>0</v>
      </c>
      <c r="O43" s="2">
        <v>0</v>
      </c>
      <c r="P43" s="2">
        <v>0</v>
      </c>
    </row>
    <row r="44" spans="1:16" s="2" customFormat="1" ht="11.25">
      <c r="A44" s="2" t="s">
        <v>37</v>
      </c>
      <c r="C44" s="21">
        <f aca="true" t="shared" si="12" ref="C44:P44">C42/C12</f>
        <v>0.0637926680898928</v>
      </c>
      <c r="D44" s="21">
        <f t="shared" si="12"/>
        <v>0.07225897320449325</v>
      </c>
      <c r="E44" s="21">
        <f t="shared" si="12"/>
        <v>0.08226313641710074</v>
      </c>
      <c r="F44" s="22">
        <f t="shared" si="12"/>
        <v>0.0744771005023274</v>
      </c>
      <c r="G44" s="23">
        <f t="shared" si="12"/>
        <v>0.001963811523497808</v>
      </c>
      <c r="H44" s="23">
        <f t="shared" si="12"/>
        <v>0.0018292262028025126</v>
      </c>
      <c r="I44" s="23">
        <f t="shared" si="12"/>
        <v>0.001957639772161699</v>
      </c>
      <c r="J44" s="23">
        <f t="shared" si="12"/>
        <v>0.0022046837803290607</v>
      </c>
      <c r="K44" s="24">
        <f t="shared" si="12"/>
        <v>0.01761399713096442</v>
      </c>
      <c r="L44" s="21">
        <f t="shared" si="12"/>
        <v>0.019086524037019086</v>
      </c>
      <c r="M44" s="21">
        <f t="shared" si="12"/>
        <v>0.017134468584850265</v>
      </c>
      <c r="N44" s="22">
        <f t="shared" si="12"/>
        <v>0.006796600483908228</v>
      </c>
      <c r="O44" s="2">
        <f t="shared" si="12"/>
        <v>0.0009979651878637065</v>
      </c>
      <c r="P44" s="2">
        <f t="shared" si="12"/>
        <v>0</v>
      </c>
    </row>
    <row r="45" spans="1:16" s="2" customFormat="1" ht="11.25">
      <c r="A45" s="2" t="s">
        <v>38</v>
      </c>
      <c r="C45" s="21">
        <f aca="true" t="shared" si="13" ref="C45:K45">C43/C42</f>
        <v>0.10957178841309824</v>
      </c>
      <c r="D45" s="21">
        <f t="shared" si="13"/>
        <v>0.09202748042818341</v>
      </c>
      <c r="E45" s="21">
        <f t="shared" si="13"/>
        <v>0.07192880070032098</v>
      </c>
      <c r="F45" s="22">
        <f t="shared" si="13"/>
        <v>0.07767150395778365</v>
      </c>
      <c r="G45" s="23">
        <f t="shared" si="13"/>
        <v>2.0251572327044025</v>
      </c>
      <c r="H45" s="23">
        <f t="shared" si="13"/>
        <v>1.8050314465408805</v>
      </c>
      <c r="I45" s="23">
        <f t="shared" si="13"/>
        <v>1.3672316384180792</v>
      </c>
      <c r="J45" s="23">
        <f t="shared" si="13"/>
        <v>1.2234042553191489</v>
      </c>
      <c r="K45" s="24">
        <f t="shared" si="13"/>
        <v>0.15353805073431243</v>
      </c>
      <c r="L45" s="21">
        <f>L43/L12</f>
        <v>0</v>
      </c>
      <c r="M45" s="21">
        <f>M43/M12</f>
        <v>0</v>
      </c>
      <c r="N45" s="22">
        <f>N43/N12</f>
        <v>0</v>
      </c>
      <c r="O45" s="2">
        <f>O43/O12</f>
        <v>0</v>
      </c>
      <c r="P45" s="2">
        <f>P43/P12</f>
        <v>0</v>
      </c>
    </row>
    <row r="46" spans="1:16" s="2" customFormat="1" ht="11.25">
      <c r="A46" s="3" t="s">
        <v>39</v>
      </c>
      <c r="B46" s="3"/>
      <c r="C46" s="25">
        <f aca="true" t="shared" si="14" ref="C46:P46">C43/C12</f>
        <v>0.0069898767302527375</v>
      </c>
      <c r="D46" s="25">
        <f t="shared" si="14"/>
        <v>0.0066498112423371315</v>
      </c>
      <c r="E46" s="25">
        <f t="shared" si="14"/>
        <v>0.005917088744328956</v>
      </c>
      <c r="F46" s="26">
        <f t="shared" si="14"/>
        <v>0.005784748406430774</v>
      </c>
      <c r="G46" s="25">
        <f t="shared" si="14"/>
        <v>0.003977027110479837</v>
      </c>
      <c r="H46" s="25">
        <f t="shared" si="14"/>
        <v>0.0033018108188951015</v>
      </c>
      <c r="I46" s="25">
        <f t="shared" si="14"/>
        <v>0.0026765470331250344</v>
      </c>
      <c r="J46" s="25">
        <f t="shared" si="14"/>
        <v>0.0026972195184876806</v>
      </c>
      <c r="K46" s="27">
        <f t="shared" si="14"/>
        <v>0.002704418785128048</v>
      </c>
      <c r="L46" s="25">
        <f t="shared" si="14"/>
        <v>0</v>
      </c>
      <c r="M46" s="25">
        <f t="shared" si="14"/>
        <v>0</v>
      </c>
      <c r="N46" s="26">
        <f t="shared" si="14"/>
        <v>0</v>
      </c>
      <c r="O46" s="3">
        <f t="shared" si="14"/>
        <v>0</v>
      </c>
      <c r="P46" s="3">
        <f t="shared" si="14"/>
        <v>0</v>
      </c>
    </row>
    <row r="47" spans="1:14" s="2" customFormat="1" ht="11.25">
      <c r="A47" s="12" t="s">
        <v>40</v>
      </c>
      <c r="E47" s="4"/>
      <c r="F47" s="16"/>
      <c r="K47" s="17"/>
      <c r="L47" s="4"/>
      <c r="M47" s="4"/>
      <c r="N47" s="16"/>
    </row>
    <row r="48" spans="1:16" s="2" customFormat="1" ht="11.25">
      <c r="A48" s="2" t="s">
        <v>41</v>
      </c>
      <c r="C48" s="21">
        <f aca="true" t="shared" si="15" ref="C48:P48">C25/(C12+C15)</f>
        <v>0.1258973345263114</v>
      </c>
      <c r="D48" s="21">
        <f t="shared" si="15"/>
        <v>0.12526731630234395</v>
      </c>
      <c r="E48" s="21">
        <f t="shared" si="15"/>
        <v>0.12848381675724044</v>
      </c>
      <c r="F48" s="22">
        <f t="shared" si="15"/>
        <v>0.13346367565342662</v>
      </c>
      <c r="G48" s="23">
        <f t="shared" si="15"/>
        <v>0.13930296756383712</v>
      </c>
      <c r="H48" s="23">
        <f t="shared" si="15"/>
        <v>0.1277719794704053</v>
      </c>
      <c r="I48" s="23">
        <f t="shared" si="15"/>
        <v>0.12260660197412994</v>
      </c>
      <c r="J48" s="23">
        <f t="shared" si="15"/>
        <v>0.12800801770944614</v>
      </c>
      <c r="K48" s="24">
        <f t="shared" si="15"/>
        <v>0.1333635119021331</v>
      </c>
      <c r="L48" s="21">
        <f t="shared" si="15"/>
        <v>0.13060230292294064</v>
      </c>
      <c r="M48" s="21">
        <f t="shared" si="15"/>
        <v>0.12971049470718318</v>
      </c>
      <c r="N48" s="22">
        <f t="shared" si="15"/>
        <v>0.1321311858076564</v>
      </c>
      <c r="O48" s="2">
        <f t="shared" si="15"/>
        <v>0.1494974562600819</v>
      </c>
      <c r="P48" s="2">
        <f t="shared" si="15"/>
        <v>0.15732044793025823</v>
      </c>
    </row>
    <row r="49" spans="1:16" s="2" customFormat="1" ht="11.25">
      <c r="A49" s="3" t="s">
        <v>42</v>
      </c>
      <c r="B49" s="3"/>
      <c r="C49" s="25">
        <f aca="true" t="shared" si="16" ref="C49:P49">C25/C12</f>
        <v>0.1388908018272387</v>
      </c>
      <c r="D49" s="25">
        <f t="shared" si="16"/>
        <v>0.13727934979623407</v>
      </c>
      <c r="E49" s="25">
        <f t="shared" si="16"/>
        <v>0.14131400177632683</v>
      </c>
      <c r="F49" s="26">
        <f t="shared" si="16"/>
        <v>0.1433659620982302</v>
      </c>
      <c r="G49" s="25">
        <f t="shared" si="16"/>
        <v>0.1495831532143519</v>
      </c>
      <c r="H49" s="25">
        <f t="shared" si="16"/>
        <v>0.13661673684452727</v>
      </c>
      <c r="I49" s="25">
        <f t="shared" si="16"/>
        <v>0.13010009401094952</v>
      </c>
      <c r="J49" s="25">
        <f t="shared" si="16"/>
        <v>0.1363034020147057</v>
      </c>
      <c r="K49" s="27">
        <f t="shared" si="16"/>
        <v>0.14202901958939868</v>
      </c>
      <c r="L49" s="25">
        <f t="shared" si="16"/>
        <v>0.1361213044381361</v>
      </c>
      <c r="M49" s="25">
        <f t="shared" si="16"/>
        <v>0.1357017028772754</v>
      </c>
      <c r="N49" s="26">
        <f t="shared" si="16"/>
        <v>0.1376463579218695</v>
      </c>
      <c r="O49" s="3">
        <f t="shared" si="16"/>
        <v>0.15614915043353164</v>
      </c>
      <c r="P49" s="3">
        <f t="shared" si="16"/>
        <v>0.16521608191537418</v>
      </c>
    </row>
    <row r="50" spans="1:14" s="2" customFormat="1" ht="11.25">
      <c r="A50" s="12" t="s">
        <v>43</v>
      </c>
      <c r="C50" s="23"/>
      <c r="D50" s="28"/>
      <c r="E50" s="21"/>
      <c r="F50" s="22"/>
      <c r="G50" s="23"/>
      <c r="H50" s="23"/>
      <c r="I50" s="23"/>
      <c r="J50" s="23"/>
      <c r="K50" s="24"/>
      <c r="L50" s="21"/>
      <c r="M50" s="21"/>
      <c r="N50" s="22"/>
    </row>
    <row r="51" spans="1:16" s="2" customFormat="1" ht="11.25">
      <c r="A51" s="2" t="s">
        <v>44</v>
      </c>
      <c r="C51" s="21">
        <f aca="true" t="shared" si="17" ref="C51:P51">C11/C16</f>
        <v>0.19176753641568905</v>
      </c>
      <c r="D51" s="21">
        <f t="shared" si="17"/>
        <v>0.14741081813725018</v>
      </c>
      <c r="E51" s="21">
        <f t="shared" si="17"/>
        <v>0.20527183171616917</v>
      </c>
      <c r="F51" s="22">
        <f t="shared" si="17"/>
        <v>0.22818961642193586</v>
      </c>
      <c r="G51" s="23">
        <f t="shared" si="17"/>
        <v>0.29228623312366764</v>
      </c>
      <c r="H51" s="23">
        <f t="shared" si="17"/>
        <v>0.2386925455530127</v>
      </c>
      <c r="I51" s="23">
        <f t="shared" si="17"/>
        <v>0.1799271688940696</v>
      </c>
      <c r="J51" s="23">
        <f t="shared" si="17"/>
        <v>0.17315492247084166</v>
      </c>
      <c r="K51" s="24">
        <f t="shared" si="17"/>
        <v>0.21562345514697495</v>
      </c>
      <c r="L51" s="21">
        <f t="shared" si="17"/>
        <v>0.19739492675676204</v>
      </c>
      <c r="M51" s="21">
        <f t="shared" si="17"/>
        <v>0.13099824493814477</v>
      </c>
      <c r="N51" s="22">
        <f t="shared" si="17"/>
        <v>0.16042530070421784</v>
      </c>
      <c r="O51" s="2">
        <f t="shared" si="17"/>
        <v>0.23191078886556848</v>
      </c>
      <c r="P51" s="2">
        <f t="shared" si="17"/>
        <v>0.3120593692022263</v>
      </c>
    </row>
    <row r="52" spans="1:16" s="2" customFormat="1" ht="11.25">
      <c r="A52" s="2" t="s">
        <v>45</v>
      </c>
      <c r="C52" s="21">
        <f aca="true" t="shared" si="18" ref="C52:P52">C11/C10</f>
        <v>0.16476771950066504</v>
      </c>
      <c r="D52" s="21">
        <f t="shared" si="18"/>
        <v>0.1293034393787364</v>
      </c>
      <c r="E52" s="21">
        <f t="shared" si="18"/>
        <v>0.18200400604189926</v>
      </c>
      <c r="F52" s="22">
        <f t="shared" si="18"/>
        <v>0.2009964448037218</v>
      </c>
      <c r="G52" s="23">
        <f t="shared" si="18"/>
        <v>0.2576160578975041</v>
      </c>
      <c r="H52" s="23">
        <f t="shared" si="18"/>
        <v>0.21181139592747905</v>
      </c>
      <c r="I52" s="23">
        <f t="shared" si="18"/>
        <v>0.1591750269794956</v>
      </c>
      <c r="J52" s="23">
        <f t="shared" si="18"/>
        <v>0.1520975742802107</v>
      </c>
      <c r="K52" s="24">
        <f t="shared" si="18"/>
        <v>0.1884023059159703</v>
      </c>
      <c r="L52" s="21">
        <f t="shared" si="18"/>
        <v>0.17198456177420315</v>
      </c>
      <c r="M52" s="21">
        <f t="shared" si="18"/>
        <v>0.11354760910903947</v>
      </c>
      <c r="N52" s="22">
        <f t="shared" si="18"/>
        <v>0.13902301662773628</v>
      </c>
      <c r="O52" s="2">
        <f t="shared" si="18"/>
        <v>0.19979543752625523</v>
      </c>
      <c r="P52" s="2">
        <f t="shared" si="18"/>
        <v>0.2626284611162632</v>
      </c>
    </row>
    <row r="53" spans="1:16" s="2" customFormat="1" ht="11.25">
      <c r="A53" s="3" t="s">
        <v>46</v>
      </c>
      <c r="B53" s="3"/>
      <c r="C53" s="25">
        <f aca="true" t="shared" si="19" ref="C53:P53">(C11+C15)/C16</f>
        <v>0.27562153794505473</v>
      </c>
      <c r="D53" s="25">
        <f t="shared" si="19"/>
        <v>0.22725393880552539</v>
      </c>
      <c r="E53" s="25">
        <f t="shared" si="19"/>
        <v>0.2823031627286868</v>
      </c>
      <c r="F53" s="26">
        <f t="shared" si="19"/>
        <v>0.2847617620617321</v>
      </c>
      <c r="G53" s="25">
        <f t="shared" si="19"/>
        <v>0.34470265196375155</v>
      </c>
      <c r="H53" s="25">
        <f t="shared" si="19"/>
        <v>0.2912510263622229</v>
      </c>
      <c r="I53" s="25">
        <f t="shared" si="19"/>
        <v>0.22986075343146556</v>
      </c>
      <c r="J53" s="25">
        <f t="shared" si="19"/>
        <v>0.22677521395718916</v>
      </c>
      <c r="K53" s="27">
        <f t="shared" si="19"/>
        <v>0.2681579647868578</v>
      </c>
      <c r="L53" s="25">
        <f t="shared" si="19"/>
        <v>0.23320490504781835</v>
      </c>
      <c r="M53" s="25">
        <f t="shared" si="19"/>
        <v>0.1730876246736013</v>
      </c>
      <c r="N53" s="26">
        <f t="shared" si="19"/>
        <v>0.1969998828079222</v>
      </c>
      <c r="O53" s="3">
        <f t="shared" si="19"/>
        <v>0.26830121478089425</v>
      </c>
      <c r="P53" s="3">
        <f t="shared" si="19"/>
        <v>0.3495361781076067</v>
      </c>
    </row>
    <row r="54" spans="1:14" s="2" customFormat="1" ht="11.25">
      <c r="A54" s="12" t="s">
        <v>47</v>
      </c>
      <c r="C54" s="23"/>
      <c r="D54" s="28"/>
      <c r="E54" s="21"/>
      <c r="F54" s="22"/>
      <c r="G54" s="23"/>
      <c r="H54" s="23"/>
      <c r="I54" s="23"/>
      <c r="J54" s="23"/>
      <c r="K54" s="24"/>
      <c r="L54" s="21"/>
      <c r="M54" s="21"/>
      <c r="N54" s="22"/>
    </row>
    <row r="55" spans="1:16" s="2" customFormat="1" ht="11.25">
      <c r="A55" s="2" t="s">
        <v>48</v>
      </c>
      <c r="B55" s="4"/>
      <c r="C55" s="21">
        <f>(C40)/C28</f>
        <v>0.005484600509128254</v>
      </c>
      <c r="D55" s="21">
        <f>((D40)/0.75)/D28</f>
        <v>0.0045564876719328875</v>
      </c>
      <c r="E55" s="21">
        <f>((E40)/0.5)/E28</f>
        <v>0.0043501671295827354</v>
      </c>
      <c r="F55" s="22">
        <f>((F40)/0.25)/F28</f>
        <v>0.003635119291376128</v>
      </c>
      <c r="G55" s="21">
        <f>(G40)/G28</f>
        <v>0.0059488935959259095</v>
      </c>
      <c r="H55" s="23">
        <f>((H40)/0.75)/H28</f>
        <v>0.0060388121001788</v>
      </c>
      <c r="I55" s="23">
        <f>((I40)/0.5)/I28</f>
        <v>0.006572120373573158</v>
      </c>
      <c r="J55" s="23">
        <f>((J40)/0.25)/J28</f>
        <v>0.006754344709568844</v>
      </c>
      <c r="K55" s="24">
        <f>(K40)/K28</f>
        <v>0.012631308351152708</v>
      </c>
      <c r="L55" s="21">
        <f>((L40)/0.75)/L28</f>
        <v>0.010568680578662991</v>
      </c>
      <c r="M55" s="21">
        <f>((M40)/0.5)/M28</f>
        <v>0.01059067177598373</v>
      </c>
      <c r="N55" s="22">
        <f>((N40)/0.25)/N28</f>
        <v>0.009911359746596163</v>
      </c>
      <c r="O55" s="2">
        <f>O40/O28</f>
        <v>0.0359468646271943</v>
      </c>
      <c r="P55" s="2">
        <f>P40/P28</f>
        <v>0.022860964598945113</v>
      </c>
    </row>
    <row r="56" spans="1:16" s="2" customFormat="1" ht="11.25">
      <c r="A56" s="2" t="s">
        <v>49</v>
      </c>
      <c r="B56" s="4"/>
      <c r="C56" s="21">
        <f>(C40)/C27</f>
        <v>0.0039506095113678395</v>
      </c>
      <c r="D56" s="21">
        <f>((D40)/0.75)/D27</f>
        <v>0.0034570773157571646</v>
      </c>
      <c r="E56" s="21">
        <f>((E40)/0.5)/E27</f>
        <v>0.0033048345355208963</v>
      </c>
      <c r="F56" s="22">
        <f>((F40)/0.25)/F27</f>
        <v>0.0027163319458242685</v>
      </c>
      <c r="G56" s="21">
        <f>(G40)/G27</f>
        <v>0.004228770052619355</v>
      </c>
      <c r="H56" s="23">
        <f>((H40)/0.75)/H27</f>
        <v>0.004491670116594015</v>
      </c>
      <c r="I56" s="23">
        <f>((I40)/0.5)/I27</f>
        <v>0.005221124946328897</v>
      </c>
      <c r="J56" s="23">
        <f>((J40)/0.25)/J27</f>
        <v>0.00528277469763649</v>
      </c>
      <c r="K56" s="24">
        <f>(K40)/K27</f>
        <v>0.009404579621380846</v>
      </c>
      <c r="L56" s="21">
        <f>((L40)/0.75)/L27</f>
        <v>0.007998680877216651</v>
      </c>
      <c r="M56" s="21">
        <f>((M40)/0.5)/M27</f>
        <v>0.008209012611504153</v>
      </c>
      <c r="N56" s="22">
        <f>((N40)/0.25)/N27</f>
        <v>0.007449719195507128</v>
      </c>
      <c r="O56" s="2">
        <f>O40/O27</f>
        <v>0.025114325017659964</v>
      </c>
      <c r="P56" s="2">
        <f>P40/P27</f>
        <v>0.015341303194744787</v>
      </c>
    </row>
    <row r="57" spans="1:16" s="2" customFormat="1" ht="11.25">
      <c r="A57" s="2" t="s">
        <v>50</v>
      </c>
      <c r="B57" s="4"/>
      <c r="C57" s="21">
        <f>(C40)/C31</f>
        <v>0.04146704113662646</v>
      </c>
      <c r="D57" s="21">
        <f>((D40)/0.75)/D31</f>
        <v>0.036017840612639906</v>
      </c>
      <c r="E57" s="21">
        <f>((E40)/0.5)/E31</f>
        <v>0.03466881930577389</v>
      </c>
      <c r="F57" s="22">
        <f>((F40)/0.25)/F31</f>
        <v>0.027815934065934064</v>
      </c>
      <c r="G57" s="21">
        <f>(G40)/G31</f>
        <v>0.043654402645721374</v>
      </c>
      <c r="H57" s="23">
        <f>((H40)/0.75)/H31</f>
        <v>0.046752003154352025</v>
      </c>
      <c r="I57" s="23">
        <f>((I40)/0.5)/I31</f>
        <v>0.05214855476455957</v>
      </c>
      <c r="J57" s="23">
        <f>((J40)/0.25)/J31</f>
        <v>0.051952580195258016</v>
      </c>
      <c r="K57" s="24">
        <f>(K40)/K31</f>
        <v>0.08960915157292659</v>
      </c>
      <c r="L57" s="21">
        <f>((L40)/0.75)/L31</f>
        <v>0.07744782141716741</v>
      </c>
      <c r="M57" s="21">
        <f>((M40)/0.5)/M31</f>
        <v>0.0766882183908046</v>
      </c>
      <c r="N57" s="22">
        <f>((N40)/0.25)/N31</f>
        <v>0.07138914443422263</v>
      </c>
      <c r="O57" s="2">
        <f>O40/O31</f>
        <v>0.23475238922675934</v>
      </c>
      <c r="P57" s="2">
        <f>P40/P31</f>
        <v>0.16688859298712827</v>
      </c>
    </row>
    <row r="58" spans="1:16" s="2" customFormat="1" ht="11.25">
      <c r="A58" s="2" t="s">
        <v>51</v>
      </c>
      <c r="B58" s="4"/>
      <c r="C58" s="21">
        <f aca="true" t="shared" si="20" ref="C58:P58">(C33)/C28</f>
        <v>0.09421057806815326</v>
      </c>
      <c r="D58" s="21">
        <f t="shared" si="20"/>
        <v>0.06910318102457097</v>
      </c>
      <c r="E58" s="21">
        <f t="shared" si="20"/>
        <v>0.04549549789688611</v>
      </c>
      <c r="F58" s="22">
        <f t="shared" si="20"/>
        <v>0.02421168960120273</v>
      </c>
      <c r="G58" s="21">
        <f t="shared" si="20"/>
        <v>0.11013339943215107</v>
      </c>
      <c r="H58" s="21">
        <f t="shared" si="20"/>
        <v>0.08126203897216508</v>
      </c>
      <c r="I58" s="21">
        <f t="shared" si="20"/>
        <v>0.05327957454168108</v>
      </c>
      <c r="J58" s="22">
        <f t="shared" si="20"/>
        <v>0.027720012012760725</v>
      </c>
      <c r="K58" s="24">
        <f t="shared" si="20"/>
        <v>0.11745597737815637</v>
      </c>
      <c r="L58" s="21">
        <f t="shared" si="20"/>
        <v>0.08574178827779626</v>
      </c>
      <c r="M58" s="21">
        <f t="shared" si="20"/>
        <v>0.056586926596971614</v>
      </c>
      <c r="N58" s="22">
        <f t="shared" si="20"/>
        <v>0.02862288297953866</v>
      </c>
      <c r="O58" s="4">
        <f t="shared" si="20"/>
        <v>0.13145483692868498</v>
      </c>
      <c r="P58" s="17">
        <f t="shared" si="20"/>
        <v>0.1454650473483409</v>
      </c>
    </row>
    <row r="59" spans="1:16" s="2" customFormat="1" ht="11.25">
      <c r="A59" s="2" t="s">
        <v>52</v>
      </c>
      <c r="B59" s="4"/>
      <c r="C59" s="21">
        <f aca="true" t="shared" si="21" ref="C59:P59">(C34)/C28</f>
        <v>0.0671590424892657</v>
      </c>
      <c r="D59" s="21">
        <f t="shared" si="21"/>
        <v>0.049908444406592</v>
      </c>
      <c r="E59" s="21">
        <f t="shared" si="21"/>
        <v>0.03412962005341749</v>
      </c>
      <c r="F59" s="22">
        <f t="shared" si="21"/>
        <v>0.018523401080438234</v>
      </c>
      <c r="G59" s="21">
        <f t="shared" si="21"/>
        <v>0.08639415926810581</v>
      </c>
      <c r="H59" s="21">
        <f t="shared" si="21"/>
        <v>0.06335295947265891</v>
      </c>
      <c r="I59" s="21">
        <f t="shared" si="21"/>
        <v>0.041356796956070564</v>
      </c>
      <c r="J59" s="22">
        <f t="shared" si="21"/>
        <v>0.02121498875220281</v>
      </c>
      <c r="K59" s="24">
        <f t="shared" si="21"/>
        <v>0.08452810787441138</v>
      </c>
      <c r="L59" s="21">
        <f t="shared" si="21"/>
        <v>0.06268717022389124</v>
      </c>
      <c r="M59" s="21">
        <f t="shared" si="21"/>
        <v>0.04249910090901199</v>
      </c>
      <c r="N59" s="22">
        <f t="shared" si="21"/>
        <v>0.02157253429381562</v>
      </c>
      <c r="O59" s="4">
        <f t="shared" si="21"/>
        <v>0.07176069126539084</v>
      </c>
      <c r="P59" s="17">
        <f t="shared" si="21"/>
        <v>0.09145905850522124</v>
      </c>
    </row>
    <row r="60" spans="1:16" s="2" customFormat="1" ht="11.25">
      <c r="A60" s="2" t="s">
        <v>53</v>
      </c>
      <c r="B60" s="4"/>
      <c r="C60" s="21">
        <f aca="true" t="shared" si="22" ref="C60:P60">(C35)/C28</f>
        <v>0.027051535578887564</v>
      </c>
      <c r="D60" s="21">
        <f t="shared" si="22"/>
        <v>0.019194736617978964</v>
      </c>
      <c r="E60" s="21">
        <f t="shared" si="22"/>
        <v>0.011365877843468618</v>
      </c>
      <c r="F60" s="22">
        <f t="shared" si="22"/>
        <v>0.005688288520764497</v>
      </c>
      <c r="G60" s="21">
        <f t="shared" si="22"/>
        <v>0.023739240164045248</v>
      </c>
      <c r="H60" s="21">
        <f t="shared" si="22"/>
        <v>0.017909079499506163</v>
      </c>
      <c r="I60" s="21">
        <f t="shared" si="22"/>
        <v>0.011922777585610516</v>
      </c>
      <c r="J60" s="22">
        <f t="shared" si="22"/>
        <v>0.006505023260557913</v>
      </c>
      <c r="K60" s="24">
        <f t="shared" si="22"/>
        <v>0.03292786950374499</v>
      </c>
      <c r="L60" s="21">
        <f t="shared" si="22"/>
        <v>0.023054618053905025</v>
      </c>
      <c r="M60" s="21">
        <f t="shared" si="22"/>
        <v>0.014087825687959622</v>
      </c>
      <c r="N60" s="22">
        <f t="shared" si="22"/>
        <v>0.007050348685723044</v>
      </c>
      <c r="O60" s="4">
        <f t="shared" si="22"/>
        <v>0.05969414566329415</v>
      </c>
      <c r="P60" s="17">
        <f t="shared" si="22"/>
        <v>0.05400598884311967</v>
      </c>
    </row>
    <row r="61" spans="1:16" s="2" customFormat="1" ht="11.25">
      <c r="A61" s="2" t="s">
        <v>54</v>
      </c>
      <c r="B61" s="4"/>
      <c r="C61" s="21">
        <f>(C38)/(C37)</f>
        <v>0.790171842025927</v>
      </c>
      <c r="D61" s="21">
        <f>(D38/0.75)/(D37/0.75)</f>
        <v>0.8035493190260009</v>
      </c>
      <c r="E61" s="21">
        <f>(E38/0.5)/(E37/0.5)</f>
        <v>0.8259081562714188</v>
      </c>
      <c r="F61" s="22">
        <f>(F38/0.25)/(F37/0.25)</f>
        <v>0.8525730180806675</v>
      </c>
      <c r="G61" s="21">
        <f>(G38)/(G37)</f>
        <v>0.8008516213560433</v>
      </c>
      <c r="H61" s="21">
        <f>(H38/0.75)/(H37/0.75)</f>
        <v>0.8017241379310345</v>
      </c>
      <c r="I61" s="21">
        <f>(I38/0.5)/(I37/0.5)</f>
        <v>0.7925598991172762</v>
      </c>
      <c r="J61" s="22">
        <f>(J38/0.25)/(J37/0.25)</f>
        <v>0.797752808988764</v>
      </c>
      <c r="K61" s="24">
        <f>(K38)/(K37)</f>
        <v>0.7152654305308611</v>
      </c>
      <c r="L61" s="21">
        <f>((L38)/0.75)/((L37)/0.75)</f>
        <v>0.750709219858156</v>
      </c>
      <c r="M61" s="21">
        <f>((M38)/0.5)/((M37)/0.5)</f>
        <v>0.7400576368876081</v>
      </c>
      <c r="N61" s="22">
        <f>(N38/0.25)/(N37/0.25)</f>
        <v>0.7637614678899083</v>
      </c>
      <c r="O61" s="2">
        <f>O38/O37</f>
        <v>0.51381707969335</v>
      </c>
      <c r="P61" s="2">
        <f>P38/P37</f>
        <v>0.6401400233372229</v>
      </c>
    </row>
    <row r="62" spans="1:16" s="2" customFormat="1" ht="11.25">
      <c r="A62" s="3" t="s">
        <v>55</v>
      </c>
      <c r="B62" s="3"/>
      <c r="C62" s="25">
        <f aca="true" t="shared" si="23" ref="C62:P62">(C36)/C28</f>
        <v>0.009188344677643151</v>
      </c>
      <c r="D62" s="25">
        <f t="shared" si="23"/>
        <v>0.0066005195247625945</v>
      </c>
      <c r="E62" s="25">
        <f t="shared" si="23"/>
        <v>0.004190234514524547</v>
      </c>
      <c r="F62" s="26">
        <f t="shared" si="23"/>
        <v>0.002378534844974504</v>
      </c>
      <c r="G62" s="25">
        <f t="shared" si="23"/>
        <v>0.010658434359367254</v>
      </c>
      <c r="H62" s="25">
        <f t="shared" si="23"/>
        <v>0.007410277257870009</v>
      </c>
      <c r="I62" s="25">
        <f t="shared" si="23"/>
        <v>0.005220944309927361</v>
      </c>
      <c r="J62" s="26">
        <f t="shared" si="23"/>
        <v>0.0025725440420673283</v>
      </c>
      <c r="K62" s="27">
        <f t="shared" si="23"/>
        <v>0.013075332141480002</v>
      </c>
      <c r="L62" s="25">
        <f t="shared" si="23"/>
        <v>0.010457764890431145</v>
      </c>
      <c r="M62" s="25">
        <f t="shared" si="23"/>
        <v>0.007428351749197018</v>
      </c>
      <c r="N62" s="26">
        <f t="shared" si="23"/>
        <v>0.00408715865839017</v>
      </c>
      <c r="O62" s="3">
        <f t="shared" si="23"/>
        <v>0.014926862365548483</v>
      </c>
      <c r="P62" s="19">
        <f t="shared" si="23"/>
        <v>0.011126480110656797</v>
      </c>
    </row>
    <row r="63" spans="1:14" s="2" customFormat="1" ht="11.25">
      <c r="A63" s="12" t="s">
        <v>56</v>
      </c>
      <c r="B63" s="4"/>
      <c r="C63" s="4"/>
      <c r="D63" s="4"/>
      <c r="E63" s="4"/>
      <c r="F63" s="16"/>
      <c r="K63" s="17"/>
      <c r="L63" s="4"/>
      <c r="M63" s="4"/>
      <c r="N63" s="16"/>
    </row>
    <row r="64" spans="1:16" s="2" customFormat="1" ht="11.25">
      <c r="A64" s="2" t="s">
        <v>57</v>
      </c>
      <c r="B64" s="4"/>
      <c r="C64" s="4">
        <v>88</v>
      </c>
      <c r="D64" s="4">
        <v>88</v>
      </c>
      <c r="E64" s="29">
        <v>91</v>
      </c>
      <c r="F64" s="16">
        <v>89</v>
      </c>
      <c r="G64" s="2">
        <v>89</v>
      </c>
      <c r="H64" s="2">
        <v>91</v>
      </c>
      <c r="I64" s="2">
        <v>91</v>
      </c>
      <c r="J64" s="2">
        <v>92</v>
      </c>
      <c r="K64" s="17">
        <v>101</v>
      </c>
      <c r="L64" s="4">
        <v>100</v>
      </c>
      <c r="M64" s="4">
        <v>104</v>
      </c>
      <c r="N64" s="16">
        <v>97</v>
      </c>
      <c r="O64" s="2">
        <v>106</v>
      </c>
      <c r="P64" s="2">
        <v>95</v>
      </c>
    </row>
    <row r="65" spans="1:16" s="2" customFormat="1" ht="11.25">
      <c r="A65" s="2" t="s">
        <v>58</v>
      </c>
      <c r="B65" s="4"/>
      <c r="C65" s="4">
        <v>6</v>
      </c>
      <c r="D65" s="4">
        <v>6</v>
      </c>
      <c r="E65" s="29">
        <v>6</v>
      </c>
      <c r="F65" s="16">
        <v>6</v>
      </c>
      <c r="G65" s="2">
        <v>6</v>
      </c>
      <c r="H65" s="2">
        <v>6</v>
      </c>
      <c r="I65" s="2">
        <v>6</v>
      </c>
      <c r="J65" s="2">
        <v>6</v>
      </c>
      <c r="K65" s="17">
        <v>6</v>
      </c>
      <c r="L65" s="4">
        <v>6</v>
      </c>
      <c r="M65" s="4">
        <v>6</v>
      </c>
      <c r="N65" s="16">
        <v>6</v>
      </c>
      <c r="O65" s="2">
        <v>6</v>
      </c>
      <c r="P65" s="2">
        <v>6</v>
      </c>
    </row>
    <row r="66" spans="1:16" s="2" customFormat="1" ht="11.25">
      <c r="A66" s="2" t="s">
        <v>59</v>
      </c>
      <c r="B66" s="4"/>
      <c r="C66" s="4">
        <f aca="true" t="shared" si="24" ref="C66:P66">C12/C64</f>
        <v>990.0681818181819</v>
      </c>
      <c r="D66" s="4">
        <f t="shared" si="24"/>
        <v>984.3068181818181</v>
      </c>
      <c r="E66" s="4">
        <f t="shared" si="24"/>
        <v>915.5824175824176</v>
      </c>
      <c r="F66" s="16">
        <f t="shared" si="24"/>
        <v>914.8426966292135</v>
      </c>
      <c r="G66" s="2">
        <f t="shared" si="24"/>
        <v>909.7191011235955</v>
      </c>
      <c r="H66" s="2">
        <f t="shared" si="24"/>
        <v>955.1868131868132</v>
      </c>
      <c r="I66" s="2">
        <f t="shared" si="24"/>
        <v>993.5714285714286</v>
      </c>
      <c r="J66" s="2">
        <f t="shared" si="24"/>
        <v>926.8804347826087</v>
      </c>
      <c r="K66" s="17">
        <f t="shared" si="24"/>
        <v>842.039603960396</v>
      </c>
      <c r="L66" s="4">
        <f t="shared" si="24"/>
        <v>866.58</v>
      </c>
      <c r="M66" s="4">
        <f t="shared" si="24"/>
        <v>818.75</v>
      </c>
      <c r="N66" s="16">
        <f t="shared" si="24"/>
        <v>847.9072164948453</v>
      </c>
      <c r="O66" s="2">
        <f t="shared" si="24"/>
        <v>727.8962264150944</v>
      </c>
      <c r="P66" s="2">
        <f t="shared" si="24"/>
        <v>699.0526315789474</v>
      </c>
    </row>
    <row r="67" spans="1:16" s="2" customFormat="1" ht="11.25">
      <c r="A67" s="2" t="s">
        <v>60</v>
      </c>
      <c r="B67" s="4"/>
      <c r="C67" s="4">
        <f aca="true" t="shared" si="25" ref="C67:P67">C16/C64</f>
        <v>1218.5681818181818</v>
      </c>
      <c r="D67" s="4">
        <f t="shared" si="25"/>
        <v>1182.1477272727273</v>
      </c>
      <c r="E67" s="4">
        <f t="shared" si="25"/>
        <v>1186.901098901099</v>
      </c>
      <c r="F67" s="16">
        <f t="shared" si="25"/>
        <v>1199.8202247191011</v>
      </c>
      <c r="G67" s="2">
        <f t="shared" si="25"/>
        <v>1280.7977528089887</v>
      </c>
      <c r="H67" s="2">
        <f t="shared" si="25"/>
        <v>1258.043956043956</v>
      </c>
      <c r="I67" s="2">
        <f t="shared" si="25"/>
        <v>1216.1208791208792</v>
      </c>
      <c r="J67" s="2">
        <f t="shared" si="25"/>
        <v>1120.195652173913</v>
      </c>
      <c r="K67" s="17">
        <f t="shared" si="25"/>
        <v>1041.4653465346535</v>
      </c>
      <c r="L67" s="4">
        <f t="shared" si="25"/>
        <v>1022.62</v>
      </c>
      <c r="M67" s="4">
        <f t="shared" si="25"/>
        <v>898.5</v>
      </c>
      <c r="N67" s="16">
        <f t="shared" si="25"/>
        <v>967.659793814433</v>
      </c>
      <c r="O67" s="2">
        <f t="shared" si="25"/>
        <v>889.9811320754717</v>
      </c>
      <c r="P67" s="2">
        <f t="shared" si="25"/>
        <v>936.1578947368421</v>
      </c>
    </row>
    <row r="68" spans="1:16" s="2" customFormat="1" ht="11.25">
      <c r="A68" s="3" t="s">
        <v>61</v>
      </c>
      <c r="B68" s="3"/>
      <c r="C68" s="3">
        <f aca="true" t="shared" si="26" ref="C68:P68">C40/C64</f>
        <v>5.704545454545454</v>
      </c>
      <c r="D68" s="3">
        <f t="shared" si="26"/>
        <v>3.647727272727273</v>
      </c>
      <c r="E68" s="3">
        <f t="shared" si="26"/>
        <v>2.241758241758242</v>
      </c>
      <c r="F68" s="18">
        <f t="shared" si="26"/>
        <v>0.9101123595505618</v>
      </c>
      <c r="G68" s="3">
        <f t="shared" si="26"/>
        <v>5.932584269662922</v>
      </c>
      <c r="H68" s="3">
        <f t="shared" si="26"/>
        <v>4.56043956043956</v>
      </c>
      <c r="I68" s="3">
        <f t="shared" si="26"/>
        <v>3.340659340659341</v>
      </c>
      <c r="J68" s="3">
        <f t="shared" si="26"/>
        <v>1.6195652173913044</v>
      </c>
      <c r="K68" s="19">
        <f t="shared" si="26"/>
        <v>10.702970297029703</v>
      </c>
      <c r="L68" s="3">
        <f t="shared" si="26"/>
        <v>6.67</v>
      </c>
      <c r="M68" s="3">
        <f t="shared" si="26"/>
        <v>4.105769230769231</v>
      </c>
      <c r="N68" s="18">
        <f t="shared" si="26"/>
        <v>2</v>
      </c>
      <c r="O68" s="3">
        <f t="shared" si="26"/>
        <v>25.49056603773585</v>
      </c>
      <c r="P68" s="3">
        <f t="shared" si="26"/>
        <v>15.83157894736842</v>
      </c>
    </row>
    <row r="69" spans="1:14" s="2" customFormat="1" ht="11.25">
      <c r="A69" s="12" t="s">
        <v>62</v>
      </c>
      <c r="B69" s="4"/>
      <c r="C69" s="4"/>
      <c r="D69" s="4"/>
      <c r="E69" s="4"/>
      <c r="F69" s="16"/>
      <c r="K69" s="17"/>
      <c r="L69" s="4"/>
      <c r="M69" s="4"/>
      <c r="N69" s="16"/>
    </row>
    <row r="70" spans="1:16" s="2" customFormat="1" ht="11.25">
      <c r="A70" s="2" t="s">
        <v>63</v>
      </c>
      <c r="B70" s="4"/>
      <c r="C70" s="23">
        <f aca="true" t="shared" si="27" ref="C70:K70">(C10-G10)/G10</f>
        <v>-0.034995206136145734</v>
      </c>
      <c r="D70" s="21">
        <f t="shared" si="27"/>
        <v>-0.08072179891637148</v>
      </c>
      <c r="E70" s="21">
        <f t="shared" si="27"/>
        <v>-0.026212078820096726</v>
      </c>
      <c r="F70" s="22">
        <f t="shared" si="27"/>
        <v>0.03328333020813801</v>
      </c>
      <c r="G70" s="23">
        <f t="shared" si="27"/>
        <v>0.07431096639144087</v>
      </c>
      <c r="H70" s="23">
        <f t="shared" si="27"/>
        <v>0.09917270876110794</v>
      </c>
      <c r="I70" s="23">
        <f t="shared" si="27"/>
        <v>0.16038217151338063</v>
      </c>
      <c r="J70" s="23">
        <f t="shared" si="27"/>
        <v>0.08321254143085317</v>
      </c>
      <c r="K70" s="24">
        <f t="shared" si="27"/>
        <v>0.09939544483205787</v>
      </c>
      <c r="L70" s="21">
        <f>(L10-104998)/104998</f>
        <v>0.1178403398159965</v>
      </c>
      <c r="M70" s="21">
        <f>(M10-100259)/100259</f>
        <v>0.07526506348557237</v>
      </c>
      <c r="N70" s="22">
        <f>(N10-100018)/100018</f>
        <v>0.08293507168709632</v>
      </c>
      <c r="O70" s="2">
        <f>(O10-P10)/P10</f>
        <v>0.03622461532638113</v>
      </c>
      <c r="P70" s="2">
        <f>(P10-90399)/90399</f>
        <v>0.16897310810960298</v>
      </c>
    </row>
    <row r="71" spans="1:16" s="2" customFormat="1" ht="11.25">
      <c r="A71" s="2" t="s">
        <v>64</v>
      </c>
      <c r="B71" s="4"/>
      <c r="C71" s="23">
        <f aca="true" t="shared" si="28" ref="C71:I73">(C12-G12)/G12</f>
        <v>0.07609460878157229</v>
      </c>
      <c r="D71" s="21">
        <f t="shared" si="28"/>
        <v>-0.0034858838959066748</v>
      </c>
      <c r="E71" s="21">
        <f t="shared" si="28"/>
        <v>-0.07849361278548914</v>
      </c>
      <c r="F71" s="22">
        <f t="shared" si="28"/>
        <v>-0.04517256341397629</v>
      </c>
      <c r="G71" s="23">
        <f t="shared" si="28"/>
        <v>-0.04798579592220681</v>
      </c>
      <c r="H71" s="23">
        <f t="shared" si="28"/>
        <v>0.0030464584920030465</v>
      </c>
      <c r="I71" s="23">
        <f t="shared" si="28"/>
        <v>0.06183206106870229</v>
      </c>
      <c r="J71" s="23">
        <f>J12/N12-1</f>
        <v>0.036791615499653485</v>
      </c>
      <c r="K71" s="24">
        <f>K12/O12-1</f>
        <v>0.1022460697020362</v>
      </c>
      <c r="L71" s="21">
        <f>L12/74529-1</f>
        <v>0.16274201988487702</v>
      </c>
      <c r="M71" s="21">
        <f>M12/68746-1</f>
        <v>0.23861751956477462</v>
      </c>
      <c r="N71" s="22">
        <f>N12/67463-1</f>
        <v>0.21914234469264637</v>
      </c>
      <c r="O71" s="2">
        <f>O12/P12-1</f>
        <v>0.16182803794609235</v>
      </c>
      <c r="P71" s="2">
        <f>P12/59945-1</f>
        <v>0.10784886145633488</v>
      </c>
    </row>
    <row r="72" spans="2:16" s="2" customFormat="1" ht="11.25">
      <c r="B72" s="4" t="s">
        <v>15</v>
      </c>
      <c r="C72" s="23">
        <f t="shared" si="28"/>
        <v>0.07679261166683173</v>
      </c>
      <c r="D72" s="21">
        <f t="shared" si="28"/>
        <v>-0.003342823879289477</v>
      </c>
      <c r="E72" s="21">
        <f t="shared" si="28"/>
        <v>-0.07955589501765573</v>
      </c>
      <c r="F72" s="22">
        <f t="shared" si="28"/>
        <v>-0.04637813853576082</v>
      </c>
      <c r="G72" s="23">
        <f t="shared" si="28"/>
        <v>-0.04931384318433256</v>
      </c>
      <c r="H72" s="23">
        <f t="shared" si="28"/>
        <v>0.0020675953519532424</v>
      </c>
      <c r="I72" s="23">
        <f t="shared" si="28"/>
        <v>0.06206207383023748</v>
      </c>
      <c r="J72" s="23">
        <f>(J13-N13)/N13</f>
        <v>0.03653818075631479</v>
      </c>
      <c r="K72" s="24">
        <f>(K13-O13)/O13</f>
        <v>0.10212340938866045</v>
      </c>
      <c r="L72" s="21">
        <f>L13/74471-1</f>
        <v>0.16251963851700668</v>
      </c>
      <c r="M72" s="21">
        <f>M13/68683-1</f>
        <v>0.23844328290843442</v>
      </c>
      <c r="N72" s="22">
        <f>N13/67395-1</f>
        <v>0.21949699532606282</v>
      </c>
      <c r="O72" s="2">
        <f>(O13-P13)/P13</f>
        <v>0.1622118704114091</v>
      </c>
      <c r="P72" s="2">
        <f>(P13-59922)/59922</f>
        <v>0.10698908581155502</v>
      </c>
    </row>
    <row r="73" spans="2:16" s="2" customFormat="1" ht="11.25">
      <c r="B73" s="4" t="s">
        <v>16</v>
      </c>
      <c r="C73" s="30">
        <f t="shared" si="28"/>
        <v>-0.2222222222222222</v>
      </c>
      <c r="D73" s="30">
        <f t="shared" si="28"/>
        <v>-0.07692307692307693</v>
      </c>
      <c r="E73" s="30">
        <f t="shared" si="28"/>
        <v>1.1842105263157894</v>
      </c>
      <c r="F73" s="22">
        <f t="shared" si="28"/>
        <v>1.2073170731707317</v>
      </c>
      <c r="G73" s="21">
        <f t="shared" si="28"/>
        <v>1.3625</v>
      </c>
      <c r="H73" s="23">
        <f t="shared" si="28"/>
        <v>1.0119047619047619</v>
      </c>
      <c r="I73" s="23">
        <f t="shared" si="28"/>
        <v>-0.15555555555555556</v>
      </c>
      <c r="J73" s="23">
        <f>(J14-N14)/N14</f>
        <v>0.3898305084745763</v>
      </c>
      <c r="K73" s="24">
        <f>(K14-O14)/O14</f>
        <v>0.25</v>
      </c>
      <c r="L73" s="21">
        <f>L14/58-1</f>
        <v>0.4482758620689655</v>
      </c>
      <c r="M73" s="21">
        <f>M14/63-1</f>
        <v>0.4285714285714286</v>
      </c>
      <c r="N73" s="22">
        <f>N14/68-1</f>
        <v>-0.13235294117647056</v>
      </c>
      <c r="O73" s="2">
        <f>(O14-P14)/P14</f>
        <v>-0.16883116883116883</v>
      </c>
      <c r="P73" s="2">
        <f>(P14-23)/23</f>
        <v>2.347826086956522</v>
      </c>
    </row>
    <row r="74" spans="1:16" s="2" customFormat="1" ht="11.25">
      <c r="A74" s="2" t="s">
        <v>65</v>
      </c>
      <c r="B74" s="4"/>
      <c r="C74" s="23">
        <f aca="true" t="shared" si="29" ref="C74:I75">(C16-G16)/G16</f>
        <v>-0.059276609556894844</v>
      </c>
      <c r="D74" s="21">
        <f t="shared" si="29"/>
        <v>-0.0913069303471288</v>
      </c>
      <c r="E74" s="21">
        <f t="shared" si="29"/>
        <v>-0.024027036063144387</v>
      </c>
      <c r="F74" s="22">
        <f t="shared" si="29"/>
        <v>0.036154398494051894</v>
      </c>
      <c r="G74" s="23">
        <f t="shared" si="29"/>
        <v>0.08368825341293684</v>
      </c>
      <c r="H74" s="23">
        <f t="shared" si="29"/>
        <v>0.11949697834972912</v>
      </c>
      <c r="I74" s="23">
        <f t="shared" si="29"/>
        <v>0.18431359958905869</v>
      </c>
      <c r="J74" s="23">
        <f>J16/N16-1</f>
        <v>0.09796192322853514</v>
      </c>
      <c r="K74" s="24">
        <f>K16/O16-1</f>
        <v>0.11501197820602505</v>
      </c>
      <c r="L74" s="21">
        <f>L16/90197-1</f>
        <v>0.13376276372828366</v>
      </c>
      <c r="M74" s="21">
        <f>M16/83339-1</f>
        <v>0.1212517548806682</v>
      </c>
      <c r="N74" s="22">
        <f>N16/84062-1</f>
        <v>0.11659251504841661</v>
      </c>
      <c r="O74" s="2">
        <f>O16/P16-1</f>
        <v>0.06075223477820879</v>
      </c>
      <c r="P74" s="2">
        <f>P16/75789-1</f>
        <v>0.17345525076198398</v>
      </c>
    </row>
    <row r="75" spans="2:16" s="2" customFormat="1" ht="11.25">
      <c r="B75" s="4" t="s">
        <v>15</v>
      </c>
      <c r="C75" s="23">
        <f t="shared" si="29"/>
        <v>-0.04298398473155755</v>
      </c>
      <c r="D75" s="21">
        <f t="shared" si="29"/>
        <v>-0.07680305450006425</v>
      </c>
      <c r="E75" s="21">
        <f t="shared" si="29"/>
        <v>-0.005705645736456224</v>
      </c>
      <c r="F75" s="22">
        <f t="shared" si="29"/>
        <v>0.03805657224289771</v>
      </c>
      <c r="G75" s="23">
        <f t="shared" si="29"/>
        <v>0.08843216554437164</v>
      </c>
      <c r="H75" s="23">
        <f t="shared" si="29"/>
        <v>0.1312843941439103</v>
      </c>
      <c r="I75" s="23">
        <f t="shared" si="29"/>
        <v>0.20172100517672872</v>
      </c>
      <c r="J75" s="23">
        <f>(J17-N17)/N17</f>
        <v>0.10754189944134078</v>
      </c>
      <c r="K75" s="24">
        <f>(K17-O17)/O17</f>
        <v>0.07421062276985436</v>
      </c>
      <c r="L75" s="21">
        <f>L17/88636-1</f>
        <v>0.08657881673360701</v>
      </c>
      <c r="M75" s="21">
        <f>M17/81791-1</f>
        <v>0.06988543971830641</v>
      </c>
      <c r="N75" s="22">
        <f>N17/82244-1</f>
        <v>0.07081367637760816</v>
      </c>
      <c r="O75" s="2">
        <f>(O17-P17)/P17</f>
        <v>0.06421081614390932</v>
      </c>
      <c r="P75" s="2">
        <f>(P17-74632)/74632</f>
        <v>0.16794404544967306</v>
      </c>
    </row>
    <row r="76" spans="2:16" s="2" customFormat="1" ht="11.25">
      <c r="B76" s="4" t="s">
        <v>16</v>
      </c>
      <c r="C76" s="23">
        <f aca="true" t="shared" si="30" ref="C76:K76">(C21-G21)/G21</f>
        <v>-0.37870571221981203</v>
      </c>
      <c r="D76" s="21">
        <f t="shared" si="30"/>
        <v>-0.37717076700434155</v>
      </c>
      <c r="E76" s="21">
        <f t="shared" si="30"/>
        <v>-0.37381989832970225</v>
      </c>
      <c r="F76" s="22">
        <f t="shared" si="30"/>
        <v>0.002536691429606813</v>
      </c>
      <c r="G76" s="23">
        <f t="shared" si="30"/>
        <v>-0.0016242555495397943</v>
      </c>
      <c r="H76" s="23">
        <f t="shared" si="30"/>
        <v>-0.07123655913978495</v>
      </c>
      <c r="I76" s="23">
        <f t="shared" si="30"/>
        <v>-0.07225871652349672</v>
      </c>
      <c r="J76" s="23">
        <f t="shared" si="30"/>
        <v>-0.04762726488352027</v>
      </c>
      <c r="K76" s="24">
        <f t="shared" si="30"/>
        <v>2.518095238095238</v>
      </c>
      <c r="L76" s="21">
        <f>L21/1562-1</f>
        <v>2.8104993597951347</v>
      </c>
      <c r="M76" s="21">
        <f>M21/1548-1</f>
        <v>2.8352713178294575</v>
      </c>
      <c r="N76" s="22">
        <f>N21/1818-1</f>
        <v>2.1875687568756876</v>
      </c>
      <c r="O76" s="2">
        <f>(O21-P21)/P21</f>
        <v>-0.10966647823629169</v>
      </c>
      <c r="P76" s="2">
        <f>(P21-1158)/1158</f>
        <v>0.5276338514680483</v>
      </c>
    </row>
    <row r="77" spans="1:16" s="2" customFormat="1" ht="11.25">
      <c r="A77" s="2" t="s">
        <v>66</v>
      </c>
      <c r="B77" s="4"/>
      <c r="C77" s="23">
        <f aca="true" t="shared" si="31" ref="C77:I77">C25/G25-1</f>
        <v>-0.000825695648583924</v>
      </c>
      <c r="D77" s="21">
        <f t="shared" si="31"/>
        <v>0.0013473684210525416</v>
      </c>
      <c r="E77" s="21">
        <f t="shared" si="31"/>
        <v>0.000935135594661185</v>
      </c>
      <c r="F77" s="22">
        <f t="shared" si="31"/>
        <v>0.004301815366084538</v>
      </c>
      <c r="G77" s="23">
        <f t="shared" si="31"/>
        <v>0.0026492259292987264</v>
      </c>
      <c r="H77" s="23">
        <f t="shared" si="31"/>
        <v>0.0066971854866055835</v>
      </c>
      <c r="I77" s="23">
        <f t="shared" si="31"/>
        <v>0.01800086542622248</v>
      </c>
      <c r="J77" s="23">
        <f>(J25-N25)/N25</f>
        <v>0.026676088684745164</v>
      </c>
      <c r="K77" s="24">
        <f>(K25-O25)/O25</f>
        <v>0.0025730411686586984</v>
      </c>
      <c r="L77" s="21">
        <f>(L25-10097)/10097</f>
        <v>0.16826780231752006</v>
      </c>
      <c r="M77" s="21">
        <f>(M25-10717)/10717</f>
        <v>0.07819352430717552</v>
      </c>
      <c r="N77" s="22">
        <f>(N25-10419)/10419</f>
        <v>0.08657260773586717</v>
      </c>
      <c r="O77" s="2">
        <f>(O25-P25)/P25</f>
        <v>0.0980678089682829</v>
      </c>
      <c r="P77" s="2">
        <f>(P25-7052)/7052</f>
        <v>0.5558706749858197</v>
      </c>
    </row>
    <row r="78" spans="1:16" s="2" customFormat="1" ht="11.25">
      <c r="A78" s="3" t="s">
        <v>67</v>
      </c>
      <c r="B78" s="3"/>
      <c r="C78" s="25">
        <f aca="true" t="shared" si="32" ref="C78:I78">(C40-G40)/G40</f>
        <v>-0.04924242424242424</v>
      </c>
      <c r="D78" s="25">
        <f t="shared" si="32"/>
        <v>-0.22650602409638554</v>
      </c>
      <c r="E78" s="25">
        <f t="shared" si="32"/>
        <v>-0.32894736842105265</v>
      </c>
      <c r="F78" s="26">
        <f t="shared" si="32"/>
        <v>-0.4563758389261745</v>
      </c>
      <c r="G78" s="25">
        <f t="shared" si="32"/>
        <v>-0.5115633672525439</v>
      </c>
      <c r="H78" s="25">
        <f t="shared" si="32"/>
        <v>-0.3778110944527736</v>
      </c>
      <c r="I78" s="25">
        <f t="shared" si="32"/>
        <v>-0.28805620608899296</v>
      </c>
      <c r="J78" s="25">
        <f>J40/N40-1</f>
        <v>-0.2319587628865979</v>
      </c>
      <c r="K78" s="27">
        <f>K40/O40-1</f>
        <v>-0.5999259807549964</v>
      </c>
      <c r="L78" s="25">
        <f>L40/2050-1</f>
        <v>-0.6746341463414633</v>
      </c>
      <c r="M78" s="25">
        <f>M40/1057-1</f>
        <v>-0.5960264900662251</v>
      </c>
      <c r="N78" s="26">
        <f>N40/271-1</f>
        <v>-0.2841328413284133</v>
      </c>
      <c r="O78" s="3">
        <f>(O40-P40)/P40</f>
        <v>0.7965425531914894</v>
      </c>
      <c r="P78" s="3">
        <f>(P40-1092)/1092</f>
        <v>0.3772893772893773</v>
      </c>
    </row>
    <row r="79" s="2" customFormat="1" ht="11.25"/>
    <row r="80" s="2" customFormat="1" ht="11.25"/>
    <row r="81" s="2" customFormat="1" ht="11.25"/>
    <row r="82" s="2" customFormat="1" ht="11.25"/>
    <row r="83" s="2" customFormat="1" ht="11.25"/>
    <row r="84" s="2" customFormat="1" ht="11.25"/>
    <row r="85" s="2" customFormat="1" ht="11.25"/>
    <row r="86" s="2" customFormat="1" ht="11.25"/>
    <row r="87" s="2" customFormat="1" ht="11.25"/>
    <row r="88" s="2" customFormat="1" ht="11.25"/>
    <row r="89" s="2" customFormat="1" ht="11.25"/>
    <row r="90" s="2" customFormat="1" ht="11.25"/>
    <row r="91" s="2" customFormat="1" ht="11.25"/>
    <row r="92" s="2" customFormat="1" ht="11.25"/>
    <row r="93" s="2" customFormat="1" ht="11.25"/>
    <row r="94" s="2" customFormat="1" ht="11.25"/>
    <row r="95" s="2" customFormat="1" ht="11.25"/>
    <row r="96" s="2" customFormat="1" ht="11.25"/>
    <row r="97" s="2" customFormat="1" ht="11.25"/>
    <row r="98" s="2" customFormat="1" ht="11.25"/>
    <row r="99" s="2" customFormat="1" ht="11.25"/>
    <row r="100" s="2" customFormat="1" ht="11.25"/>
    <row r="101" s="2" customFormat="1" ht="11.25"/>
    <row r="102" s="2" customFormat="1" ht="11.25"/>
    <row r="103" s="2" customFormat="1" ht="11.25"/>
    <row r="104" s="2" customFormat="1" ht="11.25"/>
    <row r="105" s="2" customFormat="1" ht="11.25"/>
    <row r="106" s="2" customFormat="1" ht="11.25"/>
    <row r="107" s="2" customFormat="1" ht="11.25"/>
    <row r="108" s="2" customFormat="1" ht="11.25"/>
    <row r="109" s="2" customFormat="1" ht="11.25"/>
    <row r="110" s="2" customFormat="1" ht="11.25"/>
    <row r="111" s="2" customFormat="1" ht="11.25"/>
    <row r="112" s="2" customFormat="1" ht="11.25"/>
    <row r="113" s="2" customFormat="1" ht="11.25"/>
    <row r="114" s="2" customFormat="1" ht="11.25"/>
    <row r="115" s="2" customFormat="1" ht="11.25"/>
    <row r="116" s="2" customFormat="1" ht="11.25"/>
    <row r="117" s="2" customFormat="1" ht="11.25"/>
    <row r="118" s="2" customFormat="1" ht="11.25"/>
    <row r="119" s="2" customFormat="1" ht="11.25"/>
    <row r="120" s="2" customFormat="1" ht="11.25"/>
    <row r="121" s="2" customFormat="1" ht="11.25"/>
    <row r="122" s="2" customFormat="1" ht="11.25"/>
    <row r="123" s="2" customFormat="1" ht="11.25"/>
    <row r="124" s="2" customFormat="1" ht="11.25"/>
    <row r="125" s="2" customFormat="1" ht="11.25"/>
    <row r="126" s="2" customFormat="1" ht="11.25"/>
    <row r="127" s="2" customFormat="1" ht="11.25"/>
    <row r="128" s="2" customFormat="1" ht="11.25"/>
    <row r="129" s="2" customFormat="1" ht="11.25"/>
    <row r="130" s="2" customFormat="1" ht="11.25"/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  <row r="140" s="2" customFormat="1" ht="11.25"/>
    <row r="141" s="2" customFormat="1" ht="11.25"/>
    <row r="142" s="2" customFormat="1" ht="11.25"/>
    <row r="143" s="2" customFormat="1" ht="11.25"/>
    <row r="144" s="2" customFormat="1" ht="11.25"/>
    <row r="145" s="2" customFormat="1" ht="11.25"/>
    <row r="146" s="2" customFormat="1" ht="11.25"/>
    <row r="147" s="2" customFormat="1" ht="11.25"/>
    <row r="148" s="2" customFormat="1" ht="11.25"/>
    <row r="149" s="2" customFormat="1" ht="11.25"/>
    <row r="150" s="2" customFormat="1" ht="11.25"/>
    <row r="151" s="2" customFormat="1" ht="11.25"/>
    <row r="152" s="2" customFormat="1" ht="11.25"/>
    <row r="153" s="2" customFormat="1" ht="11.25"/>
    <row r="154" s="2" customFormat="1" ht="11.25"/>
    <row r="155" s="2" customFormat="1" ht="11.25"/>
    <row r="156" s="2" customFormat="1" ht="11.25"/>
    <row r="157" s="2" customFormat="1" ht="11.25"/>
    <row r="158" s="2" customFormat="1" ht="11.25"/>
    <row r="159" s="2" customFormat="1" ht="11.25"/>
    <row r="160" s="2" customFormat="1" ht="11.25"/>
    <row r="161" s="2" customFormat="1" ht="11.25"/>
    <row r="162" s="2" customFormat="1" ht="11.25"/>
    <row r="163" s="2" customFormat="1" ht="11.25"/>
    <row r="164" s="2" customFormat="1" ht="11.25"/>
    <row r="165" s="2" customFormat="1" ht="11.25"/>
    <row r="166" s="2" customFormat="1" ht="11.25"/>
    <row r="167" s="2" customFormat="1" ht="11.25"/>
    <row r="168" s="2" customFormat="1" ht="11.25"/>
    <row r="169" s="2" customFormat="1" ht="11.25"/>
    <row r="170" s="2" customFormat="1" ht="11.25"/>
  </sheetData>
  <sheetProtection/>
  <mergeCells count="4">
    <mergeCell ref="K7:N7"/>
    <mergeCell ref="O7:P7"/>
    <mergeCell ref="G7:J7"/>
    <mergeCell ref="C7:F7"/>
  </mergeCells>
  <printOptions horizontalCentered="1" verticalCentered="1"/>
  <pageMargins left="0.75" right="0.75" top="1" bottom="1" header="0" footer="0"/>
  <pageSetup horizontalDpi="300" verticalDpi="3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2017-06-16T16:03:19Z</dcterms:created>
  <dcterms:modified xsi:type="dcterms:W3CDTF">2017-06-16T16:03:23Z</dcterms:modified>
  <cp:category/>
  <cp:version/>
  <cp:contentType/>
  <cp:contentStatus/>
</cp:coreProperties>
</file>