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ower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<sst xmlns="http://schemas.openxmlformats.org/spreadsheetml/2006/main" count="89" uniqueCount="68">
  <si>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18-10</t>
  </si>
  <si>
    <t>TOWERBANK INTERNATIONAL, INC.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</si>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</sst>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6" xfId="46" applyNumberFormat="1" applyFont="1" applyFill="1" applyBorder="1" applyAlignment="1">
      <alignment/>
    </xf>
    <xf numFmtId="195" fontId="3" fillId="0" borderId="17" xfId="46" applyNumberFormat="1" applyFont="1" applyFill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95" fontId="3" fillId="0" borderId="18" xfId="46" applyNumberFormat="1" applyFont="1" applyBorder="1" applyAlignment="1">
      <alignment/>
    </xf>
    <xf numFmtId="195" fontId="3" fillId="0" borderId="19" xfId="46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2" fillId="0" borderId="0" xfId="46" applyNumberFormat="1" applyFont="1" applyAlignment="1">
      <alignment horizontal="center"/>
    </xf>
    <xf numFmtId="195" fontId="3" fillId="0" borderId="0" xfId="46" applyNumberFormat="1" applyFont="1" applyAlignment="1">
      <alignment horizontal="center"/>
    </xf>
    <xf numFmtId="195" fontId="3" fillId="0" borderId="15" xfId="46" applyNumberFormat="1" applyFont="1" applyBorder="1" applyAlignment="1">
      <alignment horizontal="center"/>
    </xf>
    <xf numFmtId="49" fontId="2" fillId="0" borderId="20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" sqref="N12"/>
    </sheetView>
  </sheetViews>
  <sheetFormatPr defaultColWidth="11.421875" defaultRowHeight="12.75"/>
  <cols>
    <col min="1" max="1" width="3.421875" style="1" customWidth="1"/>
    <col min="2" max="2" width="27.7109375" style="1" customWidth="1"/>
    <col min="3" max="3" width="8.140625" style="1" bestFit="1" customWidth="1"/>
    <col min="4" max="4" width="8.7109375" style="1" bestFit="1" customWidth="1"/>
    <col min="5" max="13" width="8.140625" style="1" bestFit="1" customWidth="1"/>
    <col min="14" max="14" width="7.57421875" style="1" customWidth="1"/>
    <col min="15" max="16" width="6.7109375" style="1" hidden="1" customWidth="1"/>
    <col min="17" max="16384" width="11.421875" style="1" customWidth="1"/>
  </cols>
  <sheetData>
    <row r="1" spans="2:16" s="2" customFormat="1" ht="11.25">
      <c r="B1" s="36"/>
      <c r="C1" s="36"/>
      <c r="D1" s="36"/>
      <c r="E1" s="36"/>
      <c r="F1" s="36"/>
      <c r="G1" s="3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s="2" customFormat="1" ht="11.25">
      <c r="B2" s="36"/>
      <c r="C2" s="36"/>
      <c r="D2" s="36"/>
      <c r="E2" s="36"/>
      <c r="F2" s="36"/>
      <c r="G2" s="36" t="s">
        <v>1</v>
      </c>
      <c r="H2" s="36"/>
      <c r="I2" s="36"/>
      <c r="J2" s="36"/>
      <c r="K2" s="36"/>
      <c r="L2" s="36"/>
      <c r="M2" s="36"/>
      <c r="N2" s="36"/>
      <c r="O2" s="36"/>
      <c r="P2" s="36"/>
    </row>
    <row r="3" spans="2:16" s="2" customFormat="1" ht="11.25">
      <c r="B3" s="36"/>
      <c r="C3" s="36"/>
      <c r="D3" s="36"/>
      <c r="E3" s="36"/>
      <c r="F3" s="36"/>
      <c r="G3" s="36" t="s">
        <v>2</v>
      </c>
      <c r="H3" s="36"/>
      <c r="I3" s="36"/>
      <c r="J3" s="36"/>
      <c r="K3" s="36"/>
      <c r="L3" s="36"/>
      <c r="M3" s="36"/>
      <c r="N3" s="36"/>
      <c r="O3" s="36"/>
      <c r="P3" s="36"/>
    </row>
    <row r="4" spans="2:16" s="2" customFormat="1" ht="11.25">
      <c r="B4" s="37"/>
      <c r="C4" s="37"/>
      <c r="D4" s="37"/>
      <c r="E4" s="37"/>
      <c r="F4" s="37"/>
      <c r="G4" s="37" t="s">
        <v>3</v>
      </c>
      <c r="H4" s="37"/>
      <c r="I4" s="37"/>
      <c r="J4" s="37"/>
      <c r="K4" s="37"/>
      <c r="L4" s="37"/>
      <c r="M4" s="37"/>
      <c r="N4" s="37"/>
      <c r="O4" s="37"/>
      <c r="P4" s="37"/>
    </row>
    <row r="5" spans="2:16" s="2" customFormat="1" ht="11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s="6" customFormat="1" ht="11.25">
      <c r="A7" s="5"/>
      <c r="B7" s="5"/>
      <c r="C7" s="40">
        <v>2002</v>
      </c>
      <c r="D7" s="40"/>
      <c r="E7" s="40"/>
      <c r="F7" s="41"/>
      <c r="G7" s="39">
        <v>2001</v>
      </c>
      <c r="H7" s="40"/>
      <c r="I7" s="40"/>
      <c r="J7" s="41"/>
      <c r="K7" s="39">
        <v>2000</v>
      </c>
      <c r="L7" s="40"/>
      <c r="M7" s="40"/>
      <c r="N7" s="41"/>
      <c r="O7" s="40" t="s">
        <v>4</v>
      </c>
      <c r="P7" s="41"/>
    </row>
    <row r="8" spans="1:16" s="2" customFormat="1" ht="11.25">
      <c r="A8" s="7"/>
      <c r="B8" s="7"/>
      <c r="C8" s="7" t="s">
        <v>5</v>
      </c>
      <c r="D8" s="7" t="s">
        <v>6</v>
      </c>
      <c r="E8" s="8" t="s">
        <v>7</v>
      </c>
      <c r="F8" s="9" t="s">
        <v>8</v>
      </c>
      <c r="G8" s="7" t="s">
        <v>5</v>
      </c>
      <c r="H8" s="7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38" t="s">
        <v>8</v>
      </c>
      <c r="O8" s="11" t="s">
        <v>9</v>
      </c>
      <c r="P8" s="12" t="s">
        <v>10</v>
      </c>
    </row>
    <row r="9" spans="1:16" s="2" customFormat="1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3"/>
      <c r="K9" s="16"/>
      <c r="L9" s="14"/>
      <c r="M9" s="14"/>
      <c r="N9" s="15"/>
      <c r="O9" s="14"/>
      <c r="P9" s="15"/>
    </row>
    <row r="10" spans="1:16" s="2" customFormat="1" ht="11.25">
      <c r="A10" s="2" t="s">
        <v>12</v>
      </c>
      <c r="C10" s="2">
        <v>326101</v>
      </c>
      <c r="D10" s="2">
        <v>304990</v>
      </c>
      <c r="E10" s="4">
        <v>296075</v>
      </c>
      <c r="F10" s="17">
        <v>282709</v>
      </c>
      <c r="G10" s="2">
        <v>278368</v>
      </c>
      <c r="H10" s="2">
        <v>235764</v>
      </c>
      <c r="I10" s="2">
        <v>243635</v>
      </c>
      <c r="J10" s="2">
        <v>251498</v>
      </c>
      <c r="K10" s="18">
        <v>278706</v>
      </c>
      <c r="L10" s="4">
        <v>284465</v>
      </c>
      <c r="M10" s="4">
        <v>272355</v>
      </c>
      <c r="N10" s="17">
        <v>274599</v>
      </c>
      <c r="O10" s="4">
        <v>274516</v>
      </c>
      <c r="P10" s="17">
        <v>260956</v>
      </c>
    </row>
    <row r="11" spans="1:16" s="2" customFormat="1" ht="11.25">
      <c r="A11" s="2" t="s">
        <v>13</v>
      </c>
      <c r="C11" s="2">
        <v>49101</v>
      </c>
      <c r="D11" s="2">
        <v>50475</v>
      </c>
      <c r="E11" s="4">
        <v>38632</v>
      </c>
      <c r="F11" s="17">
        <v>18266</v>
      </c>
      <c r="G11" s="2">
        <v>31370</v>
      </c>
      <c r="H11" s="2">
        <v>23069</v>
      </c>
      <c r="I11" s="2">
        <v>24193</v>
      </c>
      <c r="J11" s="2">
        <v>25350</v>
      </c>
      <c r="K11" s="18">
        <v>53615</v>
      </c>
      <c r="L11" s="4">
        <v>39100</v>
      </c>
      <c r="M11" s="4">
        <v>33358</v>
      </c>
      <c r="N11" s="17">
        <v>31086</v>
      </c>
      <c r="O11" s="4">
        <v>46923</v>
      </c>
      <c r="P11" s="17">
        <v>59350</v>
      </c>
    </row>
    <row r="12" spans="1:16" s="2" customFormat="1" ht="11.25">
      <c r="A12" s="2" t="s">
        <v>14</v>
      </c>
      <c r="C12" s="4">
        <f aca="true" t="shared" si="0" ref="C12:P12">C13+C14</f>
        <v>149639</v>
      </c>
      <c r="D12" s="4">
        <f t="shared" si="0"/>
        <v>137424</v>
      </c>
      <c r="E12" s="4">
        <f t="shared" si="0"/>
        <v>137902</v>
      </c>
      <c r="F12" s="17">
        <f t="shared" si="0"/>
        <v>134511</v>
      </c>
      <c r="G12" s="2">
        <f t="shared" si="0"/>
        <v>136900</v>
      </c>
      <c r="H12" s="2">
        <f t="shared" si="0"/>
        <v>132491</v>
      </c>
      <c r="I12" s="2">
        <f t="shared" si="0"/>
        <v>131053</v>
      </c>
      <c r="J12" s="2">
        <f t="shared" si="0"/>
        <v>152757</v>
      </c>
      <c r="K12" s="18">
        <f t="shared" si="0"/>
        <v>149928</v>
      </c>
      <c r="L12" s="4">
        <f t="shared" si="0"/>
        <v>163317</v>
      </c>
      <c r="M12" s="4">
        <f t="shared" si="0"/>
        <v>151627</v>
      </c>
      <c r="N12" s="17">
        <f t="shared" si="0"/>
        <v>154825</v>
      </c>
      <c r="O12" s="4">
        <f t="shared" si="0"/>
        <v>138768</v>
      </c>
      <c r="P12" s="17">
        <f t="shared" si="0"/>
        <v>133616</v>
      </c>
    </row>
    <row r="13" spans="2:16" s="2" customFormat="1" ht="11.25">
      <c r="B13" s="2" t="s">
        <v>15</v>
      </c>
      <c r="C13" s="2">
        <v>101164</v>
      </c>
      <c r="D13" s="2">
        <v>94619</v>
      </c>
      <c r="E13" s="4">
        <v>91373</v>
      </c>
      <c r="F13" s="17">
        <v>88904</v>
      </c>
      <c r="G13" s="2">
        <v>92563</v>
      </c>
      <c r="H13" s="2">
        <v>95023</v>
      </c>
      <c r="I13" s="2">
        <v>91102</v>
      </c>
      <c r="J13" s="2">
        <v>100710</v>
      </c>
      <c r="K13" s="18">
        <v>93313</v>
      </c>
      <c r="L13" s="4">
        <v>101997</v>
      </c>
      <c r="M13" s="4">
        <v>91604</v>
      </c>
      <c r="N13" s="17">
        <v>89519</v>
      </c>
      <c r="O13" s="4">
        <v>94063</v>
      </c>
      <c r="P13" s="17">
        <v>109132</v>
      </c>
    </row>
    <row r="14" spans="2:16" s="2" customFormat="1" ht="11.25">
      <c r="B14" s="2" t="s">
        <v>16</v>
      </c>
      <c r="C14" s="2">
        <v>48475</v>
      </c>
      <c r="D14" s="2">
        <v>42805</v>
      </c>
      <c r="E14" s="4">
        <v>46529</v>
      </c>
      <c r="F14" s="17">
        <v>45607</v>
      </c>
      <c r="G14" s="2">
        <v>44337</v>
      </c>
      <c r="H14" s="2">
        <v>37468</v>
      </c>
      <c r="I14" s="2">
        <v>39951</v>
      </c>
      <c r="J14" s="2">
        <v>52047</v>
      </c>
      <c r="K14" s="18">
        <v>56615</v>
      </c>
      <c r="L14" s="4">
        <v>61320</v>
      </c>
      <c r="M14" s="4">
        <v>60023</v>
      </c>
      <c r="N14" s="17">
        <v>65306</v>
      </c>
      <c r="O14" s="4">
        <v>44705</v>
      </c>
      <c r="P14" s="17">
        <v>24484</v>
      </c>
    </row>
    <row r="15" spans="1:16" s="2" customFormat="1" ht="11.25">
      <c r="A15" s="2" t="s">
        <v>17</v>
      </c>
      <c r="C15" s="2">
        <v>117138</v>
      </c>
      <c r="D15" s="2">
        <v>105655</v>
      </c>
      <c r="E15" s="4">
        <v>109835</v>
      </c>
      <c r="F15" s="17">
        <v>117246</v>
      </c>
      <c r="G15" s="2">
        <v>100238</v>
      </c>
      <c r="H15" s="2">
        <v>67466</v>
      </c>
      <c r="I15" s="2">
        <v>65466</v>
      </c>
      <c r="J15" s="2">
        <v>61123</v>
      </c>
      <c r="K15" s="18">
        <v>65369</v>
      </c>
      <c r="L15" s="4">
        <v>68050</v>
      </c>
      <c r="M15" s="4">
        <v>75569</v>
      </c>
      <c r="N15" s="17">
        <v>77464</v>
      </c>
      <c r="O15" s="4">
        <v>80128</v>
      </c>
      <c r="P15" s="17">
        <v>53818</v>
      </c>
    </row>
    <row r="16" spans="1:16" s="2" customFormat="1" ht="11.25">
      <c r="A16" s="2" t="s">
        <v>18</v>
      </c>
      <c r="C16" s="4">
        <f aca="true" t="shared" si="1" ref="C16:P16">C17+C21</f>
        <v>217486</v>
      </c>
      <c r="D16" s="4">
        <f t="shared" si="1"/>
        <v>214171</v>
      </c>
      <c r="E16" s="4">
        <f t="shared" si="1"/>
        <v>210754</v>
      </c>
      <c r="F16" s="17">
        <f t="shared" si="1"/>
        <v>199121</v>
      </c>
      <c r="G16" s="2">
        <f t="shared" si="1"/>
        <v>210000</v>
      </c>
      <c r="H16" s="2">
        <f t="shared" si="1"/>
        <v>163687</v>
      </c>
      <c r="I16" s="2">
        <f t="shared" si="1"/>
        <v>166838</v>
      </c>
      <c r="J16" s="2">
        <f t="shared" si="1"/>
        <v>187562</v>
      </c>
      <c r="K16" s="18">
        <f t="shared" si="1"/>
        <v>203933</v>
      </c>
      <c r="L16" s="4">
        <f t="shared" si="1"/>
        <v>197829</v>
      </c>
      <c r="M16" s="4">
        <f t="shared" si="1"/>
        <v>186682</v>
      </c>
      <c r="N16" s="17">
        <f t="shared" si="1"/>
        <v>185201</v>
      </c>
      <c r="O16" s="4">
        <f t="shared" si="1"/>
        <v>185955</v>
      </c>
      <c r="P16" s="17">
        <f t="shared" si="1"/>
        <v>180133</v>
      </c>
    </row>
    <row r="17" spans="2:16" s="2" customFormat="1" ht="11.25">
      <c r="B17" s="2" t="s">
        <v>15</v>
      </c>
      <c r="C17" s="4">
        <f aca="true" t="shared" si="2" ref="C17:P17">SUM(C18:C20)</f>
        <v>121561</v>
      </c>
      <c r="D17" s="4">
        <f t="shared" si="2"/>
        <v>115872</v>
      </c>
      <c r="E17" s="4">
        <f t="shared" si="2"/>
        <v>109494</v>
      </c>
      <c r="F17" s="17">
        <f t="shared" si="2"/>
        <v>116109</v>
      </c>
      <c r="G17" s="2">
        <f t="shared" si="2"/>
        <v>107484</v>
      </c>
      <c r="H17" s="2">
        <f t="shared" si="2"/>
        <v>95372</v>
      </c>
      <c r="I17" s="2">
        <f t="shared" si="2"/>
        <v>95413</v>
      </c>
      <c r="J17" s="2">
        <f t="shared" si="2"/>
        <v>102360</v>
      </c>
      <c r="K17" s="18">
        <f t="shared" si="2"/>
        <v>131388</v>
      </c>
      <c r="L17" s="4">
        <f t="shared" si="2"/>
        <v>134185</v>
      </c>
      <c r="M17" s="4">
        <f t="shared" si="2"/>
        <v>129993</v>
      </c>
      <c r="N17" s="17">
        <f t="shared" si="2"/>
        <v>113488</v>
      </c>
      <c r="O17" s="4">
        <f t="shared" si="2"/>
        <v>119413</v>
      </c>
      <c r="P17" s="17">
        <f t="shared" si="2"/>
        <v>99742</v>
      </c>
    </row>
    <row r="18" spans="2:16" s="2" customFormat="1" ht="11.25">
      <c r="B18" s="2" t="s">
        <v>19</v>
      </c>
      <c r="C18" s="2">
        <v>0</v>
      </c>
      <c r="D18" s="2">
        <v>0</v>
      </c>
      <c r="E18" s="4">
        <v>0</v>
      </c>
      <c r="F18" s="17">
        <v>0</v>
      </c>
      <c r="G18" s="2">
        <v>0</v>
      </c>
      <c r="H18" s="2">
        <v>0</v>
      </c>
      <c r="I18" s="2">
        <v>0</v>
      </c>
      <c r="J18" s="2">
        <v>0</v>
      </c>
      <c r="K18" s="18">
        <v>0</v>
      </c>
      <c r="L18" s="4">
        <v>0</v>
      </c>
      <c r="M18" s="4">
        <v>0</v>
      </c>
      <c r="N18" s="17">
        <v>0</v>
      </c>
      <c r="O18" s="4">
        <v>0</v>
      </c>
      <c r="P18" s="17">
        <v>0</v>
      </c>
    </row>
    <row r="19" spans="2:16" s="2" customFormat="1" ht="11.25">
      <c r="B19" s="2" t="s">
        <v>20</v>
      </c>
      <c r="C19" s="2">
        <v>102501</v>
      </c>
      <c r="D19" s="2">
        <v>106472</v>
      </c>
      <c r="E19" s="4">
        <v>86267</v>
      </c>
      <c r="F19" s="17">
        <v>97598</v>
      </c>
      <c r="G19" s="2">
        <v>79130</v>
      </c>
      <c r="H19" s="2">
        <v>72709</v>
      </c>
      <c r="I19" s="2">
        <v>69312</v>
      </c>
      <c r="J19" s="2">
        <v>71570</v>
      </c>
      <c r="K19" s="18">
        <v>91618</v>
      </c>
      <c r="L19" s="4">
        <v>95592</v>
      </c>
      <c r="M19" s="4">
        <v>96885</v>
      </c>
      <c r="N19" s="17">
        <v>82034</v>
      </c>
      <c r="O19" s="4">
        <v>90730</v>
      </c>
      <c r="P19" s="17">
        <v>80527</v>
      </c>
    </row>
    <row r="20" spans="2:16" s="2" customFormat="1" ht="11.25">
      <c r="B20" s="2" t="s">
        <v>21</v>
      </c>
      <c r="C20" s="2">
        <v>19060</v>
      </c>
      <c r="D20" s="2">
        <v>9400</v>
      </c>
      <c r="E20" s="4">
        <v>23227</v>
      </c>
      <c r="F20" s="17">
        <v>18511</v>
      </c>
      <c r="G20" s="2">
        <v>28354</v>
      </c>
      <c r="H20" s="2">
        <v>22663</v>
      </c>
      <c r="I20" s="2">
        <v>26101</v>
      </c>
      <c r="J20" s="2">
        <v>30790</v>
      </c>
      <c r="K20" s="18">
        <v>39770</v>
      </c>
      <c r="L20" s="4">
        <v>38593</v>
      </c>
      <c r="M20" s="4">
        <v>33108</v>
      </c>
      <c r="N20" s="17">
        <v>31454</v>
      </c>
      <c r="O20" s="4">
        <v>28683</v>
      </c>
      <c r="P20" s="17">
        <v>19215</v>
      </c>
    </row>
    <row r="21" spans="2:16" s="19" customFormat="1" ht="11.25">
      <c r="B21" s="19" t="s">
        <v>16</v>
      </c>
      <c r="C21" s="19">
        <f>SUM(C22:C24)</f>
        <v>95925</v>
      </c>
      <c r="D21" s="20">
        <f aca="true" t="shared" si="3" ref="D21:P21">SUM(D23:D24)</f>
        <v>98299</v>
      </c>
      <c r="E21" s="20">
        <f t="shared" si="3"/>
        <v>101260</v>
      </c>
      <c r="F21" s="21">
        <f t="shared" si="3"/>
        <v>83012</v>
      </c>
      <c r="G21" s="19">
        <f t="shared" si="3"/>
        <v>102516</v>
      </c>
      <c r="H21" s="19">
        <f t="shared" si="3"/>
        <v>68315</v>
      </c>
      <c r="I21" s="19">
        <f t="shared" si="3"/>
        <v>71425</v>
      </c>
      <c r="J21" s="19">
        <f t="shared" si="3"/>
        <v>85202</v>
      </c>
      <c r="K21" s="22">
        <f t="shared" si="3"/>
        <v>72545</v>
      </c>
      <c r="L21" s="20">
        <f t="shared" si="3"/>
        <v>63644</v>
      </c>
      <c r="M21" s="20">
        <f t="shared" si="3"/>
        <v>56689</v>
      </c>
      <c r="N21" s="21">
        <f t="shared" si="3"/>
        <v>71713</v>
      </c>
      <c r="O21" s="20">
        <f t="shared" si="3"/>
        <v>66542</v>
      </c>
      <c r="P21" s="21">
        <f t="shared" si="3"/>
        <v>80391</v>
      </c>
    </row>
    <row r="22" spans="2:16" s="19" customFormat="1" ht="11.25">
      <c r="B22" s="19" t="s">
        <v>19</v>
      </c>
      <c r="C22" s="19">
        <v>0</v>
      </c>
      <c r="D22" s="20">
        <v>0</v>
      </c>
      <c r="E22" s="20">
        <v>0</v>
      </c>
      <c r="F22" s="21">
        <v>0</v>
      </c>
      <c r="G22" s="19">
        <v>0</v>
      </c>
      <c r="H22" s="19">
        <v>0</v>
      </c>
      <c r="I22" s="19">
        <v>0</v>
      </c>
      <c r="J22" s="19">
        <v>0</v>
      </c>
      <c r="K22" s="22">
        <v>0</v>
      </c>
      <c r="L22" s="20">
        <v>0</v>
      </c>
      <c r="M22" s="20">
        <v>0</v>
      </c>
      <c r="N22" s="21">
        <v>0</v>
      </c>
      <c r="O22" s="20"/>
      <c r="P22" s="21"/>
    </row>
    <row r="23" spans="2:16" s="19" customFormat="1" ht="11.25">
      <c r="B23" s="19" t="s">
        <v>20</v>
      </c>
      <c r="C23" s="19">
        <v>14345</v>
      </c>
      <c r="D23" s="19">
        <v>10528</v>
      </c>
      <c r="E23" s="20">
        <v>21412</v>
      </c>
      <c r="F23" s="21">
        <v>10950</v>
      </c>
      <c r="G23" s="19">
        <v>25680</v>
      </c>
      <c r="H23" s="19">
        <v>11459</v>
      </c>
      <c r="I23" s="19">
        <v>9797</v>
      </c>
      <c r="J23" s="19">
        <v>9455</v>
      </c>
      <c r="K23" s="22">
        <v>17948</v>
      </c>
      <c r="L23" s="20">
        <v>18026</v>
      </c>
      <c r="M23" s="20">
        <v>15107</v>
      </c>
      <c r="N23" s="21">
        <v>22239</v>
      </c>
      <c r="O23" s="20">
        <v>17397</v>
      </c>
      <c r="P23" s="21">
        <v>13975</v>
      </c>
    </row>
    <row r="24" spans="2:16" s="19" customFormat="1" ht="11.25">
      <c r="B24" s="19" t="s">
        <v>21</v>
      </c>
      <c r="C24" s="19">
        <v>81580</v>
      </c>
      <c r="D24" s="19">
        <v>87771</v>
      </c>
      <c r="E24" s="20">
        <v>79848</v>
      </c>
      <c r="F24" s="21">
        <v>72062</v>
      </c>
      <c r="G24" s="19">
        <v>76836</v>
      </c>
      <c r="H24" s="19">
        <v>56856</v>
      </c>
      <c r="I24" s="19">
        <v>61628</v>
      </c>
      <c r="J24" s="19">
        <v>75747</v>
      </c>
      <c r="K24" s="22">
        <v>54597</v>
      </c>
      <c r="L24" s="20">
        <v>45618</v>
      </c>
      <c r="M24" s="20">
        <v>41582</v>
      </c>
      <c r="N24" s="21">
        <v>49474</v>
      </c>
      <c r="O24" s="20">
        <v>49145</v>
      </c>
      <c r="P24" s="21">
        <v>66416</v>
      </c>
    </row>
    <row r="25" spans="1:16" s="2" customFormat="1" ht="11.25">
      <c r="A25" s="3" t="s">
        <v>22</v>
      </c>
      <c r="B25" s="3"/>
      <c r="C25" s="3">
        <v>36718</v>
      </c>
      <c r="D25" s="3">
        <v>30740</v>
      </c>
      <c r="E25" s="3">
        <v>31092</v>
      </c>
      <c r="F25" s="23">
        <v>32117</v>
      </c>
      <c r="G25" s="3">
        <v>34464</v>
      </c>
      <c r="H25" s="3">
        <v>33295</v>
      </c>
      <c r="I25" s="3">
        <v>32838</v>
      </c>
      <c r="J25" s="3">
        <v>31758</v>
      </c>
      <c r="K25" s="24">
        <v>32676</v>
      </c>
      <c r="L25" s="3">
        <v>32084</v>
      </c>
      <c r="M25" s="3">
        <v>31489</v>
      </c>
      <c r="N25" s="23">
        <v>31455</v>
      </c>
      <c r="O25" s="3">
        <v>32941</v>
      </c>
      <c r="P25" s="23">
        <v>23046</v>
      </c>
    </row>
    <row r="26" spans="1:16" s="2" customFormat="1" ht="11.25">
      <c r="A26" s="13" t="s">
        <v>23</v>
      </c>
      <c r="E26" s="4"/>
      <c r="F26" s="17"/>
      <c r="K26" s="18"/>
      <c r="L26" s="4"/>
      <c r="M26" s="4"/>
      <c r="N26" s="17"/>
      <c r="O26" s="4"/>
      <c r="P26" s="17"/>
    </row>
    <row r="27" spans="1:16" s="2" customFormat="1" ht="11.25">
      <c r="A27" s="2" t="s">
        <v>12</v>
      </c>
      <c r="C27" s="4">
        <f aca="true" t="shared" si="4" ref="C27:I27">(C10+G10)/2</f>
        <v>302234.5</v>
      </c>
      <c r="D27" s="4">
        <f t="shared" si="4"/>
        <v>270377</v>
      </c>
      <c r="E27" s="4">
        <f t="shared" si="4"/>
        <v>269855</v>
      </c>
      <c r="F27" s="17">
        <f t="shared" si="4"/>
        <v>267103.5</v>
      </c>
      <c r="G27" s="2">
        <f t="shared" si="4"/>
        <v>278537</v>
      </c>
      <c r="H27" s="2">
        <f t="shared" si="4"/>
        <v>260114.5</v>
      </c>
      <c r="I27" s="2">
        <f t="shared" si="4"/>
        <v>257995</v>
      </c>
      <c r="J27" s="2">
        <f>+(J10+N10)/2</f>
        <v>263048.5</v>
      </c>
      <c r="K27" s="18">
        <f>+(K10+O10)/2</f>
        <v>276611</v>
      </c>
      <c r="L27" s="4">
        <v>263788</v>
      </c>
      <c r="M27" s="4">
        <v>262128</v>
      </c>
      <c r="N27" s="17">
        <v>251231</v>
      </c>
      <c r="O27" s="4">
        <f>(O10+P10)/2</f>
        <v>267736</v>
      </c>
      <c r="P27" s="17">
        <v>251806</v>
      </c>
    </row>
    <row r="28" spans="1:16" s="2" customFormat="1" ht="11.25">
      <c r="A28" s="2" t="s">
        <v>24</v>
      </c>
      <c r="C28" s="4">
        <f aca="true" t="shared" si="5" ref="C28:P28">C29+C30</f>
        <v>251957.5</v>
      </c>
      <c r="D28" s="4">
        <f t="shared" si="5"/>
        <v>221518</v>
      </c>
      <c r="E28" s="4">
        <f t="shared" si="5"/>
        <v>222128</v>
      </c>
      <c r="F28" s="17">
        <f t="shared" si="5"/>
        <v>232818.5</v>
      </c>
      <c r="G28" s="2">
        <f t="shared" si="5"/>
        <v>226217.5</v>
      </c>
      <c r="H28" s="2">
        <f t="shared" si="5"/>
        <v>215662</v>
      </c>
      <c r="I28" s="2">
        <f t="shared" si="5"/>
        <v>211857.5</v>
      </c>
      <c r="J28" s="2">
        <f t="shared" si="5"/>
        <v>223084.5</v>
      </c>
      <c r="K28" s="18">
        <f t="shared" si="5"/>
        <v>217096.5</v>
      </c>
      <c r="L28" s="4">
        <f t="shared" si="5"/>
        <v>220088</v>
      </c>
      <c r="M28" s="4">
        <f t="shared" si="5"/>
        <v>217593</v>
      </c>
      <c r="N28" s="17">
        <f t="shared" si="5"/>
        <v>210810</v>
      </c>
      <c r="O28" s="4">
        <f t="shared" si="5"/>
        <v>203165</v>
      </c>
      <c r="P28" s="17">
        <f t="shared" si="5"/>
        <v>187170</v>
      </c>
    </row>
    <row r="29" spans="2:16" s="2" customFormat="1" ht="11.25">
      <c r="B29" s="2" t="s">
        <v>14</v>
      </c>
      <c r="C29" s="4">
        <f aca="true" t="shared" si="6" ref="C29:I29">(C12+G12)/2</f>
        <v>143269.5</v>
      </c>
      <c r="D29" s="4">
        <f t="shared" si="6"/>
        <v>134957.5</v>
      </c>
      <c r="E29" s="4">
        <f t="shared" si="6"/>
        <v>134477.5</v>
      </c>
      <c r="F29" s="17">
        <f t="shared" si="6"/>
        <v>143634</v>
      </c>
      <c r="G29" s="2">
        <f t="shared" si="6"/>
        <v>143414</v>
      </c>
      <c r="H29" s="2">
        <f t="shared" si="6"/>
        <v>147904</v>
      </c>
      <c r="I29" s="2">
        <f t="shared" si="6"/>
        <v>141340</v>
      </c>
      <c r="J29" s="2">
        <f>+(J12+N12)/2</f>
        <v>153791</v>
      </c>
      <c r="K29" s="18">
        <f>+(K12+O12)/2</f>
        <v>144348</v>
      </c>
      <c r="L29" s="4">
        <v>153319</v>
      </c>
      <c r="M29" s="4">
        <v>150967</v>
      </c>
      <c r="N29" s="17">
        <v>148734</v>
      </c>
      <c r="O29" s="4">
        <f>(O12+P12)/2</f>
        <v>136192</v>
      </c>
      <c r="P29" s="17">
        <v>151107</v>
      </c>
    </row>
    <row r="30" spans="2:16" s="2" customFormat="1" ht="11.25">
      <c r="B30" s="2" t="s">
        <v>17</v>
      </c>
      <c r="C30" s="4">
        <f aca="true" t="shared" si="7" ref="C30:I30">(C15+G15)/2</f>
        <v>108688</v>
      </c>
      <c r="D30" s="4">
        <f t="shared" si="7"/>
        <v>86560.5</v>
      </c>
      <c r="E30" s="4">
        <f t="shared" si="7"/>
        <v>87650.5</v>
      </c>
      <c r="F30" s="17">
        <f t="shared" si="7"/>
        <v>89184.5</v>
      </c>
      <c r="G30" s="2">
        <f t="shared" si="7"/>
        <v>82803.5</v>
      </c>
      <c r="H30" s="2">
        <f t="shared" si="7"/>
        <v>67758</v>
      </c>
      <c r="I30" s="2">
        <f t="shared" si="7"/>
        <v>70517.5</v>
      </c>
      <c r="J30" s="2">
        <f>+(J15+N15)/2</f>
        <v>69293.5</v>
      </c>
      <c r="K30" s="18">
        <f>+(K15+O15)/2</f>
        <v>72748.5</v>
      </c>
      <c r="L30" s="4">
        <v>66769</v>
      </c>
      <c r="M30" s="4">
        <v>66626</v>
      </c>
      <c r="N30" s="17">
        <v>62076</v>
      </c>
      <c r="O30" s="4">
        <f>(O15+P15)/2</f>
        <v>66973</v>
      </c>
      <c r="P30" s="17">
        <v>36063</v>
      </c>
    </row>
    <row r="31" spans="1:16" s="2" customFormat="1" ht="11.25">
      <c r="A31" s="3" t="s">
        <v>22</v>
      </c>
      <c r="B31" s="3"/>
      <c r="C31" s="3">
        <f aca="true" t="shared" si="8" ref="C31:I31">(C25+G25)/2</f>
        <v>35591</v>
      </c>
      <c r="D31" s="3">
        <f t="shared" si="8"/>
        <v>32017.5</v>
      </c>
      <c r="E31" s="3">
        <f t="shared" si="8"/>
        <v>31965</v>
      </c>
      <c r="F31" s="23">
        <f t="shared" si="8"/>
        <v>31937.5</v>
      </c>
      <c r="G31" s="3">
        <f t="shared" si="8"/>
        <v>33570</v>
      </c>
      <c r="H31" s="3">
        <f t="shared" si="8"/>
        <v>32689.5</v>
      </c>
      <c r="I31" s="3">
        <f t="shared" si="8"/>
        <v>32163.5</v>
      </c>
      <c r="J31" s="3">
        <f>+(J25+N25)/2</f>
        <v>31606.5</v>
      </c>
      <c r="K31" s="24">
        <f>+(K25+O25)/2</f>
        <v>32808.5</v>
      </c>
      <c r="L31" s="3">
        <v>32458</v>
      </c>
      <c r="M31" s="3">
        <v>30413</v>
      </c>
      <c r="N31" s="23">
        <v>27065</v>
      </c>
      <c r="O31" s="3">
        <f>(O25+P25)/2</f>
        <v>27993.5</v>
      </c>
      <c r="P31" s="23">
        <v>22152</v>
      </c>
    </row>
    <row r="32" spans="1:16" s="2" customFormat="1" ht="11.25">
      <c r="A32" s="13" t="s">
        <v>25</v>
      </c>
      <c r="E32" s="4"/>
      <c r="F32" s="17"/>
      <c r="K32" s="18"/>
      <c r="L32" s="4"/>
      <c r="M32" s="4"/>
      <c r="N32" s="17"/>
      <c r="O32" s="4"/>
      <c r="P32" s="17"/>
    </row>
    <row r="33" spans="1:16" s="2" customFormat="1" ht="11.25">
      <c r="A33" s="2" t="s">
        <v>26</v>
      </c>
      <c r="C33" s="2">
        <v>27875</v>
      </c>
      <c r="D33" s="2">
        <v>16711</v>
      </c>
      <c r="E33" s="4">
        <v>10637</v>
      </c>
      <c r="F33" s="17">
        <v>5620</v>
      </c>
      <c r="G33" s="2">
        <v>22291</v>
      </c>
      <c r="H33" s="2">
        <v>16968</v>
      </c>
      <c r="I33" s="2">
        <v>9593</v>
      </c>
      <c r="J33" s="2">
        <v>5091</v>
      </c>
      <c r="K33" s="18">
        <v>21880</v>
      </c>
      <c r="L33" s="4">
        <v>15700</v>
      </c>
      <c r="M33" s="4">
        <v>9105</v>
      </c>
      <c r="N33" s="17">
        <v>4469</v>
      </c>
      <c r="O33" s="4">
        <v>19220</v>
      </c>
      <c r="P33" s="17">
        <v>21591</v>
      </c>
    </row>
    <row r="34" spans="1:16" s="2" customFormat="1" ht="11.25">
      <c r="A34" s="2" t="s">
        <v>27</v>
      </c>
      <c r="C34" s="2">
        <v>14092</v>
      </c>
      <c r="D34" s="2">
        <v>11463</v>
      </c>
      <c r="E34" s="4">
        <v>6558</v>
      </c>
      <c r="F34" s="17">
        <v>2704</v>
      </c>
      <c r="G34" s="2">
        <v>11388</v>
      </c>
      <c r="H34" s="2">
        <v>8834</v>
      </c>
      <c r="I34" s="2">
        <v>5902</v>
      </c>
      <c r="J34" s="2">
        <v>3202</v>
      </c>
      <c r="K34" s="18">
        <v>14053</v>
      </c>
      <c r="L34" s="4">
        <v>10347</v>
      </c>
      <c r="M34" s="4">
        <v>6792</v>
      </c>
      <c r="N34" s="17">
        <v>3314</v>
      </c>
      <c r="O34" s="4">
        <v>13326</v>
      </c>
      <c r="P34" s="17">
        <v>16766</v>
      </c>
    </row>
    <row r="35" spans="1:16" s="2" customFormat="1" ht="11.25">
      <c r="A35" s="2" t="s">
        <v>28</v>
      </c>
      <c r="C35" s="4">
        <f>+C33-C34</f>
        <v>13783</v>
      </c>
      <c r="D35" s="4">
        <f>+D33-D34</f>
        <v>5248</v>
      </c>
      <c r="E35" s="4">
        <f>+E33-E34</f>
        <v>4079</v>
      </c>
      <c r="F35" s="17">
        <f>+F33-F34</f>
        <v>2916</v>
      </c>
      <c r="G35" s="2">
        <f aca="true" t="shared" si="9" ref="G35:P35">G33-G34</f>
        <v>10903</v>
      </c>
      <c r="H35" s="2">
        <f t="shared" si="9"/>
        <v>8134</v>
      </c>
      <c r="I35" s="2">
        <f t="shared" si="9"/>
        <v>3691</v>
      </c>
      <c r="J35" s="2">
        <f t="shared" si="9"/>
        <v>1889</v>
      </c>
      <c r="K35" s="18">
        <f t="shared" si="9"/>
        <v>7827</v>
      </c>
      <c r="L35" s="4">
        <f t="shared" si="9"/>
        <v>5353</v>
      </c>
      <c r="M35" s="4">
        <f t="shared" si="9"/>
        <v>2313</v>
      </c>
      <c r="N35" s="17">
        <f t="shared" si="9"/>
        <v>1155</v>
      </c>
      <c r="O35" s="4">
        <f t="shared" si="9"/>
        <v>5894</v>
      </c>
      <c r="P35" s="17">
        <f t="shared" si="9"/>
        <v>4825</v>
      </c>
    </row>
    <row r="36" spans="1:16" s="2" customFormat="1" ht="11.25">
      <c r="A36" s="2" t="s">
        <v>29</v>
      </c>
      <c r="C36" s="2">
        <v>2835</v>
      </c>
      <c r="D36" s="2">
        <v>858</v>
      </c>
      <c r="E36" s="4">
        <v>697</v>
      </c>
      <c r="F36" s="17">
        <v>190</v>
      </c>
      <c r="G36" s="2">
        <v>1571</v>
      </c>
      <c r="H36" s="2">
        <v>1407</v>
      </c>
      <c r="I36" s="2">
        <v>878</v>
      </c>
      <c r="J36" s="2">
        <v>478</v>
      </c>
      <c r="K36" s="18">
        <v>2252</v>
      </c>
      <c r="L36" s="4">
        <v>1245</v>
      </c>
      <c r="M36" s="4">
        <v>787</v>
      </c>
      <c r="N36" s="17">
        <v>431</v>
      </c>
      <c r="O36" s="4">
        <v>1581</v>
      </c>
      <c r="P36" s="17">
        <v>2222</v>
      </c>
    </row>
    <row r="37" spans="1:16" s="2" customFormat="1" ht="11.25">
      <c r="A37" s="2" t="s">
        <v>30</v>
      </c>
      <c r="C37" s="4">
        <f>+C36+C35</f>
        <v>16618</v>
      </c>
      <c r="D37" s="4">
        <f>+D36+D35</f>
        <v>6106</v>
      </c>
      <c r="E37" s="4">
        <f>+E36+E35</f>
        <v>4776</v>
      </c>
      <c r="F37" s="17">
        <f>+F36+F35</f>
        <v>3106</v>
      </c>
      <c r="G37" s="2">
        <f aca="true" t="shared" si="10" ref="G37:P37">G35+G36</f>
        <v>12474</v>
      </c>
      <c r="H37" s="2">
        <f t="shared" si="10"/>
        <v>9541</v>
      </c>
      <c r="I37" s="2">
        <f t="shared" si="10"/>
        <v>4569</v>
      </c>
      <c r="J37" s="2">
        <f t="shared" si="10"/>
        <v>2367</v>
      </c>
      <c r="K37" s="18">
        <f t="shared" si="10"/>
        <v>10079</v>
      </c>
      <c r="L37" s="4">
        <f t="shared" si="10"/>
        <v>6598</v>
      </c>
      <c r="M37" s="4">
        <f t="shared" si="10"/>
        <v>3100</v>
      </c>
      <c r="N37" s="17">
        <f t="shared" si="10"/>
        <v>1586</v>
      </c>
      <c r="O37" s="4">
        <f t="shared" si="10"/>
        <v>7475</v>
      </c>
      <c r="P37" s="17">
        <f t="shared" si="10"/>
        <v>7047</v>
      </c>
    </row>
    <row r="38" spans="1:16" s="2" customFormat="1" ht="11.25">
      <c r="A38" s="2" t="s">
        <v>31</v>
      </c>
      <c r="C38" s="2">
        <v>7232</v>
      </c>
      <c r="D38" s="2">
        <v>4032</v>
      </c>
      <c r="E38" s="4">
        <v>2687</v>
      </c>
      <c r="F38" s="17">
        <v>1322</v>
      </c>
      <c r="G38" s="2">
        <v>4873</v>
      </c>
      <c r="H38" s="2">
        <v>3710</v>
      </c>
      <c r="I38" s="2">
        <v>2496</v>
      </c>
      <c r="J38" s="2">
        <v>1137</v>
      </c>
      <c r="K38" s="18">
        <v>6043</v>
      </c>
      <c r="L38" s="4">
        <v>4930</v>
      </c>
      <c r="M38" s="4">
        <v>2501</v>
      </c>
      <c r="N38" s="17">
        <v>1214</v>
      </c>
      <c r="O38" s="4">
        <v>4712</v>
      </c>
      <c r="P38" s="17">
        <v>4156</v>
      </c>
    </row>
    <row r="39" spans="1:16" s="2" customFormat="1" ht="11.25">
      <c r="A39" s="2" t="s">
        <v>32</v>
      </c>
      <c r="C39" s="4">
        <f>+C37-C38</f>
        <v>9386</v>
      </c>
      <c r="D39" s="4">
        <f>+D37-D38</f>
        <v>2074</v>
      </c>
      <c r="E39" s="4">
        <f>+E37-E38</f>
        <v>2089</v>
      </c>
      <c r="F39" s="17">
        <f>+F37-F38</f>
        <v>1784</v>
      </c>
      <c r="G39" s="2">
        <f aca="true" t="shared" si="11" ref="G39:P39">G37-G38</f>
        <v>7601</v>
      </c>
      <c r="H39" s="2">
        <f t="shared" si="11"/>
        <v>5831</v>
      </c>
      <c r="I39" s="2">
        <f t="shared" si="11"/>
        <v>2073</v>
      </c>
      <c r="J39" s="2">
        <f t="shared" si="11"/>
        <v>1230</v>
      </c>
      <c r="K39" s="18">
        <f t="shared" si="11"/>
        <v>4036</v>
      </c>
      <c r="L39" s="4">
        <f t="shared" si="11"/>
        <v>1668</v>
      </c>
      <c r="M39" s="4">
        <f t="shared" si="11"/>
        <v>599</v>
      </c>
      <c r="N39" s="17">
        <f t="shared" si="11"/>
        <v>372</v>
      </c>
      <c r="O39" s="4">
        <f t="shared" si="11"/>
        <v>2763</v>
      </c>
      <c r="P39" s="17">
        <f t="shared" si="11"/>
        <v>2891</v>
      </c>
    </row>
    <row r="40" spans="1:16" s="2" customFormat="1" ht="11.25">
      <c r="A40" s="3" t="s">
        <v>33</v>
      </c>
      <c r="B40" s="3"/>
      <c r="C40" s="3">
        <v>7565</v>
      </c>
      <c r="D40" s="3">
        <v>1384</v>
      </c>
      <c r="E40" s="3">
        <v>1429</v>
      </c>
      <c r="F40" s="23">
        <f>+F39-330</f>
        <v>1454</v>
      </c>
      <c r="G40" s="3">
        <v>6250</v>
      </c>
      <c r="H40" s="3">
        <v>5082</v>
      </c>
      <c r="I40" s="3">
        <v>1624</v>
      </c>
      <c r="J40" s="3">
        <v>930</v>
      </c>
      <c r="K40" s="24">
        <v>932</v>
      </c>
      <c r="L40" s="3">
        <v>340</v>
      </c>
      <c r="M40" s="3">
        <v>47</v>
      </c>
      <c r="N40" s="23">
        <v>96</v>
      </c>
      <c r="O40" s="3">
        <v>1671</v>
      </c>
      <c r="P40" s="23">
        <v>1138</v>
      </c>
    </row>
    <row r="41" spans="1:16" s="2" customFormat="1" ht="11.25">
      <c r="A41" s="13" t="s">
        <v>34</v>
      </c>
      <c r="E41" s="4"/>
      <c r="F41" s="17"/>
      <c r="K41" s="18"/>
      <c r="L41" s="4"/>
      <c r="M41" s="4"/>
      <c r="N41" s="17"/>
      <c r="O41" s="4"/>
      <c r="P41" s="17"/>
    </row>
    <row r="42" spans="1:16" s="2" customFormat="1" ht="11.25">
      <c r="A42" s="2" t="s">
        <v>35</v>
      </c>
      <c r="C42" s="2">
        <v>2399</v>
      </c>
      <c r="D42" s="2">
        <v>2891</v>
      </c>
      <c r="E42" s="4">
        <v>2253</v>
      </c>
      <c r="F42" s="17">
        <v>2244</v>
      </c>
      <c r="G42" s="2">
        <v>3508</v>
      </c>
      <c r="H42" s="2">
        <v>3838</v>
      </c>
      <c r="I42" s="2">
        <v>2476</v>
      </c>
      <c r="J42" s="2">
        <v>2273</v>
      </c>
      <c r="K42" s="18">
        <v>3716</v>
      </c>
      <c r="L42" s="4">
        <v>7159</v>
      </c>
      <c r="M42" s="4">
        <v>5257</v>
      </c>
      <c r="N42" s="17">
        <v>4170</v>
      </c>
      <c r="O42" s="4">
        <v>3159</v>
      </c>
      <c r="P42" s="17">
        <v>1670</v>
      </c>
    </row>
    <row r="43" spans="1:16" s="2" customFormat="1" ht="11.25">
      <c r="A43" s="2" t="s">
        <v>36</v>
      </c>
      <c r="C43" s="2">
        <v>2400</v>
      </c>
      <c r="D43" s="2">
        <v>2891</v>
      </c>
      <c r="E43" s="4">
        <v>2253</v>
      </c>
      <c r="F43" s="17">
        <v>2244</v>
      </c>
      <c r="G43" s="2">
        <v>1935</v>
      </c>
      <c r="H43" s="2">
        <v>2203</v>
      </c>
      <c r="I43" s="2">
        <v>2212</v>
      </c>
      <c r="J43" s="2">
        <v>2509</v>
      </c>
      <c r="K43" s="18">
        <v>2204</v>
      </c>
      <c r="L43" s="4">
        <v>1677</v>
      </c>
      <c r="M43" s="4">
        <v>903</v>
      </c>
      <c r="N43" s="17">
        <v>864</v>
      </c>
      <c r="O43" s="4">
        <v>581</v>
      </c>
      <c r="P43" s="17">
        <v>375</v>
      </c>
    </row>
    <row r="44" spans="1:16" s="2" customFormat="1" ht="11.25">
      <c r="A44" s="2" t="s">
        <v>37</v>
      </c>
      <c r="C44" s="25">
        <f aca="true" t="shared" si="12" ref="C44:P44">C42/C12</f>
        <v>0.016031916813130268</v>
      </c>
      <c r="D44" s="25">
        <f t="shared" si="12"/>
        <v>0.021037082314588427</v>
      </c>
      <c r="E44" s="25">
        <f t="shared" si="12"/>
        <v>0.016337689083552088</v>
      </c>
      <c r="F44" s="26">
        <f t="shared" si="12"/>
        <v>0.01668265048955104</v>
      </c>
      <c r="G44" s="27">
        <f t="shared" si="12"/>
        <v>0.0256245434623813</v>
      </c>
      <c r="H44" s="27">
        <f t="shared" si="12"/>
        <v>0.028968005373949928</v>
      </c>
      <c r="I44" s="27">
        <f t="shared" si="12"/>
        <v>0.018893119577575484</v>
      </c>
      <c r="J44" s="27">
        <f t="shared" si="12"/>
        <v>0.014879841840308463</v>
      </c>
      <c r="K44" s="28">
        <f t="shared" si="12"/>
        <v>0.024785230243850383</v>
      </c>
      <c r="L44" s="25">
        <f t="shared" si="12"/>
        <v>0.04383499574447241</v>
      </c>
      <c r="M44" s="25">
        <f t="shared" si="12"/>
        <v>0.03467060615853377</v>
      </c>
      <c r="N44" s="26">
        <f t="shared" si="12"/>
        <v>0.02693363474891006</v>
      </c>
      <c r="O44" s="4">
        <f t="shared" si="12"/>
        <v>0.022764614320304393</v>
      </c>
      <c r="P44" s="17">
        <f t="shared" si="12"/>
        <v>0.012498503173272661</v>
      </c>
    </row>
    <row r="45" spans="1:16" s="2" customFormat="1" ht="11.25">
      <c r="A45" s="2" t="s">
        <v>38</v>
      </c>
      <c r="C45" s="25">
        <f aca="true" t="shared" si="13" ref="C45:P45">C43/C42</f>
        <v>1.0004168403501459</v>
      </c>
      <c r="D45" s="25">
        <f t="shared" si="13"/>
        <v>1</v>
      </c>
      <c r="E45" s="25">
        <f t="shared" si="13"/>
        <v>1</v>
      </c>
      <c r="F45" s="26">
        <f t="shared" si="13"/>
        <v>1</v>
      </c>
      <c r="G45" s="27">
        <f t="shared" si="13"/>
        <v>0.5515963511972634</v>
      </c>
      <c r="H45" s="27">
        <f t="shared" si="13"/>
        <v>0.5739968733715477</v>
      </c>
      <c r="I45" s="27">
        <f t="shared" si="13"/>
        <v>0.8933764135702746</v>
      </c>
      <c r="J45" s="27">
        <f t="shared" si="13"/>
        <v>1.1038275406951166</v>
      </c>
      <c r="K45" s="28">
        <f t="shared" si="13"/>
        <v>0.5931108719052745</v>
      </c>
      <c r="L45" s="25">
        <f t="shared" si="13"/>
        <v>0.23425059365833217</v>
      </c>
      <c r="M45" s="25">
        <f t="shared" si="13"/>
        <v>0.17177097203728361</v>
      </c>
      <c r="N45" s="26">
        <f t="shared" si="13"/>
        <v>0.20719424460431654</v>
      </c>
      <c r="O45" s="4">
        <f t="shared" si="13"/>
        <v>0.18391896169673946</v>
      </c>
      <c r="P45" s="17">
        <f t="shared" si="13"/>
        <v>0.2245508982035928</v>
      </c>
    </row>
    <row r="46" spans="1:16" s="2" customFormat="1" ht="11.25">
      <c r="A46" s="3" t="s">
        <v>39</v>
      </c>
      <c r="B46" s="3"/>
      <c r="C46" s="29">
        <f aca="true" t="shared" si="14" ref="C46:P46">C43/C12</f>
        <v>0.01603859956294816</v>
      </c>
      <c r="D46" s="29">
        <f t="shared" si="14"/>
        <v>0.021037082314588427</v>
      </c>
      <c r="E46" s="29">
        <f t="shared" si="14"/>
        <v>0.016337689083552088</v>
      </c>
      <c r="F46" s="30">
        <f t="shared" si="14"/>
        <v>0.01668265048955104</v>
      </c>
      <c r="G46" s="29">
        <f t="shared" si="14"/>
        <v>0.014134404674945216</v>
      </c>
      <c r="H46" s="29">
        <f t="shared" si="14"/>
        <v>0.01662754451245745</v>
      </c>
      <c r="I46" s="29">
        <f t="shared" si="14"/>
        <v>0.01687866740936873</v>
      </c>
      <c r="J46" s="29">
        <f t="shared" si="14"/>
        <v>0.01642477922451999</v>
      </c>
      <c r="K46" s="31">
        <f t="shared" si="14"/>
        <v>0.01470038952030308</v>
      </c>
      <c r="L46" s="29">
        <f t="shared" si="14"/>
        <v>0.010268373776153125</v>
      </c>
      <c r="M46" s="29">
        <f t="shared" si="14"/>
        <v>0.005955403720973178</v>
      </c>
      <c r="N46" s="30">
        <f t="shared" si="14"/>
        <v>0.005580494106248991</v>
      </c>
      <c r="O46" s="3">
        <f t="shared" si="14"/>
        <v>0.004186844229217111</v>
      </c>
      <c r="P46" s="23">
        <f t="shared" si="14"/>
        <v>0.0028065501137588315</v>
      </c>
    </row>
    <row r="47" spans="1:16" s="2" customFormat="1" ht="11.25">
      <c r="A47" s="13" t="s">
        <v>40</v>
      </c>
      <c r="C47" s="27"/>
      <c r="D47" s="27"/>
      <c r="E47" s="25"/>
      <c r="F47" s="26"/>
      <c r="G47" s="27"/>
      <c r="H47" s="27"/>
      <c r="I47" s="27"/>
      <c r="J47" s="27"/>
      <c r="K47" s="28"/>
      <c r="L47" s="25"/>
      <c r="M47" s="25"/>
      <c r="N47" s="26"/>
      <c r="O47" s="4"/>
      <c r="P47" s="17"/>
    </row>
    <row r="48" spans="1:16" s="2" customFormat="1" ht="11.25">
      <c r="A48" s="2" t="s">
        <v>41</v>
      </c>
      <c r="C48" s="25">
        <f aca="true" t="shared" si="15" ref="C48:P48">C25/(C12+C15)</f>
        <v>0.13763555328982632</v>
      </c>
      <c r="D48" s="25">
        <f t="shared" si="15"/>
        <v>0.12646094479572484</v>
      </c>
      <c r="E48" s="25">
        <f t="shared" si="15"/>
        <v>0.12550406277625062</v>
      </c>
      <c r="F48" s="26">
        <f t="shared" si="15"/>
        <v>0.12757142800398796</v>
      </c>
      <c r="G48" s="27">
        <f t="shared" si="15"/>
        <v>0.14533309718391824</v>
      </c>
      <c r="H48" s="27">
        <f t="shared" si="15"/>
        <v>0.1665107998219617</v>
      </c>
      <c r="I48" s="27">
        <f t="shared" si="15"/>
        <v>0.16709834672474416</v>
      </c>
      <c r="J48" s="27">
        <f t="shared" si="15"/>
        <v>0.1484851318496353</v>
      </c>
      <c r="K48" s="28">
        <f t="shared" si="15"/>
        <v>0.15177173857508466</v>
      </c>
      <c r="L48" s="25">
        <f t="shared" si="15"/>
        <v>0.13867146135792918</v>
      </c>
      <c r="M48" s="25">
        <f t="shared" si="15"/>
        <v>0.13859839081673972</v>
      </c>
      <c r="N48" s="26">
        <f t="shared" si="15"/>
        <v>0.13541321371222917</v>
      </c>
      <c r="O48" s="4">
        <f t="shared" si="15"/>
        <v>0.1504869892551714</v>
      </c>
      <c r="P48" s="17">
        <f t="shared" si="15"/>
        <v>0.12295528025865105</v>
      </c>
    </row>
    <row r="49" spans="1:16" s="2" customFormat="1" ht="11.25">
      <c r="A49" s="3" t="s">
        <v>42</v>
      </c>
      <c r="B49" s="3"/>
      <c r="C49" s="29">
        <f aca="true" t="shared" si="16" ref="C49:P49">C25/C12</f>
        <v>0.24537720781347108</v>
      </c>
      <c r="D49" s="29">
        <f t="shared" si="16"/>
        <v>0.22368727442077074</v>
      </c>
      <c r="E49" s="29">
        <f t="shared" si="16"/>
        <v>0.2254644602688866</v>
      </c>
      <c r="F49" s="30">
        <f t="shared" si="16"/>
        <v>0.23876857654764294</v>
      </c>
      <c r="G49" s="29">
        <f t="shared" si="16"/>
        <v>0.25174579985390794</v>
      </c>
      <c r="H49" s="29">
        <f t="shared" si="16"/>
        <v>0.2513000883078851</v>
      </c>
      <c r="I49" s="29">
        <f t="shared" si="16"/>
        <v>0.2505703799226267</v>
      </c>
      <c r="J49" s="29">
        <f t="shared" si="16"/>
        <v>0.20789881969402385</v>
      </c>
      <c r="K49" s="31">
        <f t="shared" si="16"/>
        <v>0.21794461341443894</v>
      </c>
      <c r="L49" s="29">
        <f t="shared" si="16"/>
        <v>0.1964522982910536</v>
      </c>
      <c r="M49" s="29">
        <f t="shared" si="16"/>
        <v>0.20767409498308348</v>
      </c>
      <c r="N49" s="30">
        <f t="shared" si="16"/>
        <v>0.20316486355562732</v>
      </c>
      <c r="O49" s="3">
        <f t="shared" si="16"/>
        <v>0.23738181713363313</v>
      </c>
      <c r="P49" s="23">
        <f t="shared" si="16"/>
        <v>0.17247934379116273</v>
      </c>
    </row>
    <row r="50" spans="1:16" s="2" customFormat="1" ht="11.25">
      <c r="A50" s="13" t="s">
        <v>43</v>
      </c>
      <c r="C50" s="27"/>
      <c r="D50" s="32"/>
      <c r="E50" s="25"/>
      <c r="F50" s="26"/>
      <c r="G50" s="27"/>
      <c r="H50" s="27"/>
      <c r="I50" s="27"/>
      <c r="J50" s="27"/>
      <c r="K50" s="28"/>
      <c r="L50" s="25"/>
      <c r="M50" s="25"/>
      <c r="N50" s="26"/>
      <c r="O50" s="4"/>
      <c r="P50" s="17"/>
    </row>
    <row r="51" spans="1:16" s="2" customFormat="1" ht="11.25">
      <c r="A51" s="2" t="s">
        <v>44</v>
      </c>
      <c r="C51" s="25">
        <f aca="true" t="shared" si="17" ref="C51:P51">C11/C16</f>
        <v>0.2257662562187911</v>
      </c>
      <c r="D51" s="25">
        <f t="shared" si="17"/>
        <v>0.2356761653071611</v>
      </c>
      <c r="E51" s="25">
        <f t="shared" si="17"/>
        <v>0.18330375698681875</v>
      </c>
      <c r="F51" s="26">
        <f t="shared" si="17"/>
        <v>0.09173316727015232</v>
      </c>
      <c r="G51" s="27">
        <f t="shared" si="17"/>
        <v>0.1493809523809524</v>
      </c>
      <c r="H51" s="27">
        <f t="shared" si="17"/>
        <v>0.14093361109923208</v>
      </c>
      <c r="I51" s="27">
        <f t="shared" si="17"/>
        <v>0.14500893081911795</v>
      </c>
      <c r="J51" s="27">
        <f t="shared" si="17"/>
        <v>0.13515530864460817</v>
      </c>
      <c r="K51" s="28">
        <f t="shared" si="17"/>
        <v>0.2629049736923401</v>
      </c>
      <c r="L51" s="25">
        <f t="shared" si="17"/>
        <v>0.19764544126493083</v>
      </c>
      <c r="M51" s="25">
        <f t="shared" si="17"/>
        <v>0.17868889341232685</v>
      </c>
      <c r="N51" s="26">
        <f t="shared" si="17"/>
        <v>0.16785006560439739</v>
      </c>
      <c r="O51" s="4">
        <f t="shared" si="17"/>
        <v>0.2523352423973542</v>
      </c>
      <c r="P51" s="17">
        <f t="shared" si="17"/>
        <v>0.32947877401697634</v>
      </c>
    </row>
    <row r="52" spans="1:16" s="2" customFormat="1" ht="11.25">
      <c r="A52" s="2" t="s">
        <v>45</v>
      </c>
      <c r="C52" s="25">
        <f aca="true" t="shared" si="18" ref="C52:P52">C11/C10</f>
        <v>0.15056991545564105</v>
      </c>
      <c r="D52" s="25">
        <f t="shared" si="18"/>
        <v>0.16549722941735795</v>
      </c>
      <c r="E52" s="25">
        <f t="shared" si="18"/>
        <v>0.13048045258802668</v>
      </c>
      <c r="F52" s="26">
        <f t="shared" si="18"/>
        <v>0.06461060666621862</v>
      </c>
      <c r="G52" s="27">
        <f t="shared" si="18"/>
        <v>0.11269255086791585</v>
      </c>
      <c r="H52" s="27">
        <f t="shared" si="18"/>
        <v>0.09784784784784785</v>
      </c>
      <c r="I52" s="27">
        <f t="shared" si="18"/>
        <v>0.09930018265027603</v>
      </c>
      <c r="J52" s="27">
        <f t="shared" si="18"/>
        <v>0.10079603018711879</v>
      </c>
      <c r="K52" s="28">
        <f t="shared" si="18"/>
        <v>0.1923711724900074</v>
      </c>
      <c r="L52" s="25">
        <f t="shared" si="18"/>
        <v>0.13745100451725167</v>
      </c>
      <c r="M52" s="25">
        <f t="shared" si="18"/>
        <v>0.12247985166418829</v>
      </c>
      <c r="N52" s="26">
        <f t="shared" si="18"/>
        <v>0.11320507358002033</v>
      </c>
      <c r="O52" s="4">
        <f t="shared" si="18"/>
        <v>0.17092992758163458</v>
      </c>
      <c r="P52" s="17">
        <f t="shared" si="18"/>
        <v>0.22743297720688546</v>
      </c>
    </row>
    <row r="53" spans="1:16" s="2" customFormat="1" ht="11.25">
      <c r="A53" s="3" t="s">
        <v>46</v>
      </c>
      <c r="B53" s="3"/>
      <c r="C53" s="29">
        <f aca="true" t="shared" si="19" ref="C53:P53">(C11+C15)/C16</f>
        <v>0.7643664419778744</v>
      </c>
      <c r="D53" s="29">
        <f t="shared" si="19"/>
        <v>0.7289969230194564</v>
      </c>
      <c r="E53" s="29">
        <f t="shared" si="19"/>
        <v>0.7044563804245708</v>
      </c>
      <c r="F53" s="30">
        <f t="shared" si="19"/>
        <v>0.6805510217405497</v>
      </c>
      <c r="G53" s="29">
        <f t="shared" si="19"/>
        <v>0.6267047619047619</v>
      </c>
      <c r="H53" s="29">
        <f t="shared" si="19"/>
        <v>0.5530982912509851</v>
      </c>
      <c r="I53" s="29">
        <f t="shared" si="19"/>
        <v>0.5374015512053609</v>
      </c>
      <c r="J53" s="29">
        <f t="shared" si="19"/>
        <v>0.46103688380375557</v>
      </c>
      <c r="K53" s="31">
        <f t="shared" si="19"/>
        <v>0.5834465241035046</v>
      </c>
      <c r="L53" s="29">
        <f t="shared" si="19"/>
        <v>0.5416293869958398</v>
      </c>
      <c r="M53" s="29">
        <f t="shared" si="19"/>
        <v>0.5834895704995661</v>
      </c>
      <c r="N53" s="30">
        <f t="shared" si="19"/>
        <v>0.5861199453566666</v>
      </c>
      <c r="O53" s="3">
        <f t="shared" si="19"/>
        <v>0.6832351913097254</v>
      </c>
      <c r="P53" s="23">
        <f t="shared" si="19"/>
        <v>0.6282469064524546</v>
      </c>
    </row>
    <row r="54" spans="1:16" s="2" customFormat="1" ht="11.25">
      <c r="A54" s="13" t="s">
        <v>47</v>
      </c>
      <c r="C54" s="27"/>
      <c r="D54" s="32"/>
      <c r="E54" s="25"/>
      <c r="F54" s="26"/>
      <c r="G54" s="27"/>
      <c r="H54" s="27"/>
      <c r="I54" s="27"/>
      <c r="J54" s="27"/>
      <c r="K54" s="28"/>
      <c r="L54" s="25"/>
      <c r="M54" s="25"/>
      <c r="N54" s="26"/>
      <c r="O54" s="4"/>
      <c r="P54" s="17"/>
    </row>
    <row r="55" spans="1:16" s="2" customFormat="1" ht="11.25">
      <c r="A55" s="2" t="s">
        <v>48</v>
      </c>
      <c r="B55" s="4"/>
      <c r="C55" s="25">
        <f>(C40)/C28</f>
        <v>0.03002490499389778</v>
      </c>
      <c r="D55" s="25">
        <f>((D40)/0.75)/D28</f>
        <v>0.008330399034540458</v>
      </c>
      <c r="E55" s="25">
        <f>((E40)/0.5)/E28</f>
        <v>0.012866455377079882</v>
      </c>
      <c r="F55" s="26">
        <f>((F40)/0.25)/F28</f>
        <v>0.02498083270874093</v>
      </c>
      <c r="G55" s="25">
        <f>(G40)/G28</f>
        <v>0.027628278095195996</v>
      </c>
      <c r="H55" s="27">
        <f>((H40)/0.75)/H28</f>
        <v>0.0314195361259749</v>
      </c>
      <c r="I55" s="27">
        <f>((I40)/0.5)/I28</f>
        <v>0.015331059792549237</v>
      </c>
      <c r="J55" s="27">
        <f>((J40)/0.25)/J28</f>
        <v>0.01667529568392246</v>
      </c>
      <c r="K55" s="28">
        <f>(K40)/K28</f>
        <v>0.004293021766817982</v>
      </c>
      <c r="L55" s="25">
        <f>((L40)/0.75)/L28</f>
        <v>0.002059782147746962</v>
      </c>
      <c r="M55" s="25">
        <f>((M40)/0.5)/M28</f>
        <v>0.00043199919115045063</v>
      </c>
      <c r="N55" s="26">
        <f>((N40)/0.25)/N28</f>
        <v>0.0018215454674825673</v>
      </c>
      <c r="O55" s="4">
        <f>O40/O28</f>
        <v>0.008224841877291856</v>
      </c>
      <c r="P55" s="17">
        <f>P40/P28</f>
        <v>0.006080034193513918</v>
      </c>
    </row>
    <row r="56" spans="1:16" s="2" customFormat="1" ht="11.25">
      <c r="A56" s="2" t="s">
        <v>49</v>
      </c>
      <c r="B56" s="4"/>
      <c r="C56" s="25">
        <f>(C40)/C27</f>
        <v>0.02503023314677841</v>
      </c>
      <c r="D56" s="25">
        <f>((D40)/0.75)/D27</f>
        <v>0.006825038125777463</v>
      </c>
      <c r="E56" s="25">
        <f>((E40)/0.5)/E27</f>
        <v>0.010590872876174242</v>
      </c>
      <c r="F56" s="26">
        <f>((F40)/0.25)/F27</f>
        <v>0.02177433092415487</v>
      </c>
      <c r="G56" s="25">
        <f>(G40)/G27</f>
        <v>0.02243867062544653</v>
      </c>
      <c r="H56" s="27">
        <f>((H40)/0.75)/H27</f>
        <v>0.026050066413060402</v>
      </c>
      <c r="I56" s="27">
        <f>((I40)/0.5)/I27</f>
        <v>0.01258939126727262</v>
      </c>
      <c r="J56" s="27">
        <f>((J40)/0.25)/J27</f>
        <v>0.014141878779008434</v>
      </c>
      <c r="K56" s="28">
        <f>(K40)/K27</f>
        <v>0.0033693526287819357</v>
      </c>
      <c r="L56" s="25">
        <f>((L40)/0.75)/L27</f>
        <v>0.0017185517663173963</v>
      </c>
      <c r="M56" s="25">
        <f>((M40)/0.5)/M27</f>
        <v>0.00035860343038515534</v>
      </c>
      <c r="N56" s="26">
        <f>((N40)/0.25)/N27</f>
        <v>0.0015284737950332563</v>
      </c>
      <c r="O56" s="4">
        <f>O40/O27</f>
        <v>0.00624122269698509</v>
      </c>
      <c r="P56" s="17">
        <f>P40/P27</f>
        <v>0.0045193521997093</v>
      </c>
    </row>
    <row r="57" spans="1:16" s="2" customFormat="1" ht="11.25">
      <c r="A57" s="2" t="s">
        <v>50</v>
      </c>
      <c r="B57" s="4"/>
      <c r="C57" s="25">
        <f>(C40)/C31</f>
        <v>0.21255373549492848</v>
      </c>
      <c r="D57" s="25">
        <f>((D40)/0.75)/D31</f>
        <v>0.05763514744540746</v>
      </c>
      <c r="E57" s="25">
        <f>((E40)/0.5)/E31</f>
        <v>0.08941029250743</v>
      </c>
      <c r="F57" s="26">
        <f>((F40)/0.25)/F31</f>
        <v>0.18210567514677103</v>
      </c>
      <c r="G57" s="25">
        <f>(G40)/G31</f>
        <v>0.18617813523979743</v>
      </c>
      <c r="H57" s="27">
        <f>((H40)/0.75)/H31</f>
        <v>0.20728368436348063</v>
      </c>
      <c r="I57" s="27">
        <f>((I40)/0.5)/I31</f>
        <v>0.10098403469771636</v>
      </c>
      <c r="J57" s="27">
        <f>((J40)/0.25)/J31</f>
        <v>0.11769730909781216</v>
      </c>
      <c r="K57" s="28">
        <f>(K40)/K31</f>
        <v>0.028407272505600684</v>
      </c>
      <c r="L57" s="25">
        <f>((L40)/0.75)/L31</f>
        <v>0.01396676730954875</v>
      </c>
      <c r="M57" s="25">
        <f>((M40)/0.5)/M31</f>
        <v>0.003090783546509716</v>
      </c>
      <c r="N57" s="26">
        <f>((N40)/0.25)/N31</f>
        <v>0.014188065767596528</v>
      </c>
      <c r="O57" s="4">
        <f>O40/O31</f>
        <v>0.05969242859949631</v>
      </c>
      <c r="P57" s="17">
        <f>P40/P31</f>
        <v>0.05137233658360419</v>
      </c>
    </row>
    <row r="58" spans="1:16" s="2" customFormat="1" ht="11.25">
      <c r="A58" s="2" t="s">
        <v>51</v>
      </c>
      <c r="B58" s="4"/>
      <c r="C58" s="25">
        <f aca="true" t="shared" si="20" ref="C58:P58">(C33)/C28</f>
        <v>0.11063373783276942</v>
      </c>
      <c r="D58" s="25">
        <f t="shared" si="20"/>
        <v>0.07543856481188888</v>
      </c>
      <c r="E58" s="25">
        <f t="shared" si="20"/>
        <v>0.04788680400489808</v>
      </c>
      <c r="F58" s="26">
        <f t="shared" si="20"/>
        <v>0.024138975210303306</v>
      </c>
      <c r="G58" s="25">
        <f t="shared" si="20"/>
        <v>0.09853791152320222</v>
      </c>
      <c r="H58" s="25">
        <f t="shared" si="20"/>
        <v>0.07867867310884626</v>
      </c>
      <c r="I58" s="25">
        <f t="shared" si="20"/>
        <v>0.04528043614221824</v>
      </c>
      <c r="J58" s="26">
        <f t="shared" si="20"/>
        <v>0.02282094901259388</v>
      </c>
      <c r="K58" s="28">
        <f t="shared" si="20"/>
        <v>0.10078467409654232</v>
      </c>
      <c r="L58" s="25">
        <f t="shared" si="20"/>
        <v>0.07133510232270728</v>
      </c>
      <c r="M58" s="25">
        <f t="shared" si="20"/>
        <v>0.04184417697260482</v>
      </c>
      <c r="N58" s="26">
        <f t="shared" si="20"/>
        <v>0.021199184099426022</v>
      </c>
      <c r="O58" s="4">
        <f t="shared" si="20"/>
        <v>0.09460290896561908</v>
      </c>
      <c r="P58" s="33">
        <f t="shared" si="20"/>
        <v>0.11535502484372495</v>
      </c>
    </row>
    <row r="59" spans="1:16" s="2" customFormat="1" ht="11.25">
      <c r="A59" s="2" t="s">
        <v>52</v>
      </c>
      <c r="B59" s="4"/>
      <c r="C59" s="25">
        <f aca="true" t="shared" si="21" ref="C59:P59">(C34)/C28</f>
        <v>0.0559300675709197</v>
      </c>
      <c r="D59" s="25">
        <f t="shared" si="21"/>
        <v>0.05174748778880271</v>
      </c>
      <c r="E59" s="25">
        <f t="shared" si="21"/>
        <v>0.029523517971619968</v>
      </c>
      <c r="F59" s="26">
        <f t="shared" si="21"/>
        <v>0.011614197325384367</v>
      </c>
      <c r="G59" s="25">
        <f t="shared" si="21"/>
        <v>0.05034093295169472</v>
      </c>
      <c r="H59" s="25">
        <f t="shared" si="21"/>
        <v>0.04096224647828547</v>
      </c>
      <c r="I59" s="25">
        <f t="shared" si="21"/>
        <v>0.027858348182150737</v>
      </c>
      <c r="J59" s="26">
        <f t="shared" si="21"/>
        <v>0.014353305585999924</v>
      </c>
      <c r="K59" s="28">
        <f t="shared" si="21"/>
        <v>0.06473158249902693</v>
      </c>
      <c r="L59" s="25">
        <f t="shared" si="21"/>
        <v>0.04701301297662753</v>
      </c>
      <c r="M59" s="25">
        <f t="shared" si="21"/>
        <v>0.03121423942865809</v>
      </c>
      <c r="N59" s="26">
        <f t="shared" si="21"/>
        <v>0.015720316873013614</v>
      </c>
      <c r="O59" s="4">
        <f t="shared" si="21"/>
        <v>0.0655920064971821</v>
      </c>
      <c r="P59" s="33">
        <f t="shared" si="21"/>
        <v>0.0895763209916119</v>
      </c>
    </row>
    <row r="60" spans="1:16" s="2" customFormat="1" ht="11.25">
      <c r="A60" s="2" t="s">
        <v>53</v>
      </c>
      <c r="B60" s="4"/>
      <c r="C60" s="25">
        <f aca="true" t="shared" si="22" ref="C60:P60">(C35)/C28</f>
        <v>0.05470367026184972</v>
      </c>
      <c r="D60" s="25">
        <f t="shared" si="22"/>
        <v>0.02369107702308616</v>
      </c>
      <c r="E60" s="25">
        <f t="shared" si="22"/>
        <v>0.01836328603327811</v>
      </c>
      <c r="F60" s="26">
        <f t="shared" si="22"/>
        <v>0.01252477788491894</v>
      </c>
      <c r="G60" s="25">
        <f t="shared" si="22"/>
        <v>0.04819697857150751</v>
      </c>
      <c r="H60" s="25">
        <f t="shared" si="22"/>
        <v>0.03771642663056078</v>
      </c>
      <c r="I60" s="25">
        <f t="shared" si="22"/>
        <v>0.017422087960067497</v>
      </c>
      <c r="J60" s="26">
        <f t="shared" si="22"/>
        <v>0.008467643426593958</v>
      </c>
      <c r="K60" s="28">
        <f t="shared" si="22"/>
        <v>0.036053091597515394</v>
      </c>
      <c r="L60" s="25">
        <f t="shared" si="22"/>
        <v>0.02432208934607975</v>
      </c>
      <c r="M60" s="25">
        <f t="shared" si="22"/>
        <v>0.010629937543946727</v>
      </c>
      <c r="N60" s="26">
        <f t="shared" si="22"/>
        <v>0.005478867226412409</v>
      </c>
      <c r="O60" s="4">
        <f t="shared" si="22"/>
        <v>0.029010902468436985</v>
      </c>
      <c r="P60" s="33">
        <f t="shared" si="22"/>
        <v>0.025778703852113054</v>
      </c>
    </row>
    <row r="61" spans="1:16" s="2" customFormat="1" ht="11.25">
      <c r="A61" s="2" t="s">
        <v>54</v>
      </c>
      <c r="B61" s="4"/>
      <c r="C61" s="25">
        <f>(C38)/(C37)</f>
        <v>0.43519075701047055</v>
      </c>
      <c r="D61" s="25">
        <f>(D38/0.75)/(D37/0.75)</f>
        <v>0.6603340976089093</v>
      </c>
      <c r="E61" s="25">
        <f>(E38/0.5)/(E37/0.5)</f>
        <v>0.5626046901172529</v>
      </c>
      <c r="F61" s="26">
        <f>(F38/0.25)/(F37/0.25)</f>
        <v>0.4256278171281391</v>
      </c>
      <c r="G61" s="25">
        <f>(G38)/(G37)</f>
        <v>0.390652557319224</v>
      </c>
      <c r="H61" s="25">
        <f>(H38/0.75)/(H37/0.75)</f>
        <v>0.3888481291269259</v>
      </c>
      <c r="I61" s="25">
        <f>(I38/0.5)/(I37/0.5)</f>
        <v>0.54629021667761</v>
      </c>
      <c r="J61" s="26">
        <f>(J38/0.25)/(J37/0.25)</f>
        <v>0.4803548795944233</v>
      </c>
      <c r="K61" s="28">
        <f>(K38)/(K37)</f>
        <v>0.5995634487548368</v>
      </c>
      <c r="L61" s="25">
        <f>((L38)/0.75)/((L37)/0.75)</f>
        <v>0.7471961200363746</v>
      </c>
      <c r="M61" s="25">
        <f>((M38)/0.5)/((M37)/0.5)</f>
        <v>0.8067741935483871</v>
      </c>
      <c r="N61" s="26">
        <f>(N38/0.25)/(N37/0.25)</f>
        <v>0.7654476670870114</v>
      </c>
      <c r="O61" s="4">
        <f>O38/O37</f>
        <v>0.6303678929765887</v>
      </c>
      <c r="P61" s="17">
        <f>P38/P37</f>
        <v>0.5897545054633178</v>
      </c>
    </row>
    <row r="62" spans="1:16" s="2" customFormat="1" ht="11.25">
      <c r="A62" s="3" t="s">
        <v>55</v>
      </c>
      <c r="B62" s="3"/>
      <c r="C62" s="29">
        <f aca="true" t="shared" si="23" ref="C62:P62">(C36)/C28</f>
        <v>0.01125189764146731</v>
      </c>
      <c r="D62" s="29">
        <f t="shared" si="23"/>
        <v>0.003873274406594498</v>
      </c>
      <c r="E62" s="29">
        <f t="shared" si="23"/>
        <v>0.003137830440106605</v>
      </c>
      <c r="F62" s="30">
        <f t="shared" si="23"/>
        <v>0.0008160863505262683</v>
      </c>
      <c r="G62" s="29">
        <f t="shared" si="23"/>
        <v>0.006944643982008465</v>
      </c>
      <c r="H62" s="29">
        <f t="shared" si="23"/>
        <v>0.006524097893926608</v>
      </c>
      <c r="I62" s="29">
        <f t="shared" si="23"/>
        <v>0.004144295104020391</v>
      </c>
      <c r="J62" s="30">
        <f t="shared" si="23"/>
        <v>0.0021426858432567033</v>
      </c>
      <c r="K62" s="31">
        <f t="shared" si="23"/>
        <v>0.010373267187633149</v>
      </c>
      <c r="L62" s="29">
        <f t="shared" si="23"/>
        <v>0.0056568281778197815</v>
      </c>
      <c r="M62" s="29">
        <f t="shared" si="23"/>
        <v>0.0036168442918660068</v>
      </c>
      <c r="N62" s="30">
        <f t="shared" si="23"/>
        <v>0.0020444950429296524</v>
      </c>
      <c r="O62" s="3">
        <f t="shared" si="23"/>
        <v>0.007781852189107376</v>
      </c>
      <c r="P62" s="34">
        <f t="shared" si="23"/>
        <v>0.011871560613346157</v>
      </c>
    </row>
    <row r="63" spans="1:16" s="2" customFormat="1" ht="11.25">
      <c r="A63" s="13" t="s">
        <v>56</v>
      </c>
      <c r="B63" s="4"/>
      <c r="C63" s="4"/>
      <c r="D63" s="4"/>
      <c r="E63" s="4"/>
      <c r="F63" s="17"/>
      <c r="K63" s="18"/>
      <c r="L63" s="4"/>
      <c r="M63" s="4"/>
      <c r="N63" s="17"/>
      <c r="O63" s="4"/>
      <c r="P63" s="17"/>
    </row>
    <row r="64" spans="1:16" s="2" customFormat="1" ht="11.25">
      <c r="A64" s="2" t="s">
        <v>57</v>
      </c>
      <c r="B64" s="4"/>
      <c r="C64" s="4">
        <v>99</v>
      </c>
      <c r="D64" s="20">
        <v>93</v>
      </c>
      <c r="E64" s="4">
        <v>96</v>
      </c>
      <c r="F64" s="17">
        <v>99</v>
      </c>
      <c r="G64" s="2">
        <v>92</v>
      </c>
      <c r="H64" s="2">
        <v>93</v>
      </c>
      <c r="I64" s="2">
        <v>94</v>
      </c>
      <c r="J64" s="2">
        <v>87</v>
      </c>
      <c r="K64" s="18">
        <v>92</v>
      </c>
      <c r="L64" s="4">
        <v>102</v>
      </c>
      <c r="M64" s="4">
        <v>102</v>
      </c>
      <c r="N64" s="17">
        <v>100</v>
      </c>
      <c r="O64" s="4">
        <v>98</v>
      </c>
      <c r="P64" s="17">
        <v>97</v>
      </c>
    </row>
    <row r="65" spans="1:16" s="2" customFormat="1" ht="11.25">
      <c r="A65" s="2" t="s">
        <v>58</v>
      </c>
      <c r="B65" s="4"/>
      <c r="C65" s="4">
        <v>2</v>
      </c>
      <c r="D65" s="20">
        <v>2</v>
      </c>
      <c r="E65" s="4">
        <v>2</v>
      </c>
      <c r="F65" s="17">
        <v>2</v>
      </c>
      <c r="G65" s="2">
        <v>2</v>
      </c>
      <c r="H65" s="2">
        <v>2</v>
      </c>
      <c r="I65" s="2">
        <v>2</v>
      </c>
      <c r="J65" s="2">
        <v>2</v>
      </c>
      <c r="K65" s="18">
        <v>2</v>
      </c>
      <c r="L65" s="4">
        <v>2</v>
      </c>
      <c r="M65" s="4">
        <v>2</v>
      </c>
      <c r="N65" s="17">
        <v>2</v>
      </c>
      <c r="O65" s="4">
        <v>2</v>
      </c>
      <c r="P65" s="17">
        <v>2</v>
      </c>
    </row>
    <row r="66" spans="1:16" s="2" customFormat="1" ht="11.25">
      <c r="A66" s="2" t="s">
        <v>59</v>
      </c>
      <c r="B66" s="4"/>
      <c r="C66" s="4">
        <f aca="true" t="shared" si="24" ref="C66:P66">C12/C64</f>
        <v>1511.5050505050506</v>
      </c>
      <c r="D66" s="4">
        <f t="shared" si="24"/>
        <v>1477.6774193548388</v>
      </c>
      <c r="E66" s="4">
        <f t="shared" si="24"/>
        <v>1436.4791666666667</v>
      </c>
      <c r="F66" s="17">
        <f t="shared" si="24"/>
        <v>1358.6969696969697</v>
      </c>
      <c r="G66" s="2">
        <f t="shared" si="24"/>
        <v>1488.0434782608695</v>
      </c>
      <c r="H66" s="2">
        <f t="shared" si="24"/>
        <v>1424.6344086021506</v>
      </c>
      <c r="I66" s="2">
        <f t="shared" si="24"/>
        <v>1394.1808510638298</v>
      </c>
      <c r="J66" s="2">
        <f t="shared" si="24"/>
        <v>1755.8275862068965</v>
      </c>
      <c r="K66" s="18">
        <f t="shared" si="24"/>
        <v>1629.6521739130435</v>
      </c>
      <c r="L66" s="4">
        <f t="shared" si="24"/>
        <v>1601.1470588235295</v>
      </c>
      <c r="M66" s="4">
        <f t="shared" si="24"/>
        <v>1486.5392156862745</v>
      </c>
      <c r="N66" s="17">
        <f t="shared" si="24"/>
        <v>1548.25</v>
      </c>
      <c r="O66" s="4">
        <f t="shared" si="24"/>
        <v>1416</v>
      </c>
      <c r="P66" s="17">
        <f t="shared" si="24"/>
        <v>1377.4845360824743</v>
      </c>
    </row>
    <row r="67" spans="1:16" s="2" customFormat="1" ht="11.25">
      <c r="A67" s="2" t="s">
        <v>60</v>
      </c>
      <c r="B67" s="4"/>
      <c r="C67" s="4">
        <f aca="true" t="shared" si="25" ref="C67:P67">C16/C64</f>
        <v>2196.8282828282827</v>
      </c>
      <c r="D67" s="4">
        <f t="shared" si="25"/>
        <v>2302.9139784946237</v>
      </c>
      <c r="E67" s="4">
        <f t="shared" si="25"/>
        <v>2195.3541666666665</v>
      </c>
      <c r="F67" s="17">
        <f t="shared" si="25"/>
        <v>2011.3232323232323</v>
      </c>
      <c r="G67" s="2">
        <f t="shared" si="25"/>
        <v>2282.608695652174</v>
      </c>
      <c r="H67" s="2">
        <f t="shared" si="25"/>
        <v>1760.0752688172042</v>
      </c>
      <c r="I67" s="2">
        <f t="shared" si="25"/>
        <v>1774.872340425532</v>
      </c>
      <c r="J67" s="2">
        <f t="shared" si="25"/>
        <v>2155.885057471264</v>
      </c>
      <c r="K67" s="18">
        <f t="shared" si="25"/>
        <v>2216.663043478261</v>
      </c>
      <c r="L67" s="4">
        <f t="shared" si="25"/>
        <v>1939.5</v>
      </c>
      <c r="M67" s="4">
        <f t="shared" si="25"/>
        <v>1830.2156862745098</v>
      </c>
      <c r="N67" s="17">
        <f t="shared" si="25"/>
        <v>1852.01</v>
      </c>
      <c r="O67" s="4">
        <f t="shared" si="25"/>
        <v>1897.5</v>
      </c>
      <c r="P67" s="17">
        <f t="shared" si="25"/>
        <v>1857.041237113402</v>
      </c>
    </row>
    <row r="68" spans="1:16" s="2" customFormat="1" ht="11.25">
      <c r="A68" s="3" t="s">
        <v>61</v>
      </c>
      <c r="B68" s="3"/>
      <c r="C68" s="3">
        <f aca="true" t="shared" si="26" ref="C68:P68">C40/C64</f>
        <v>76.41414141414141</v>
      </c>
      <c r="D68" s="3">
        <f t="shared" si="26"/>
        <v>14.881720430107526</v>
      </c>
      <c r="E68" s="3">
        <f t="shared" si="26"/>
        <v>14.885416666666666</v>
      </c>
      <c r="F68" s="23">
        <f t="shared" si="26"/>
        <v>14.686868686868687</v>
      </c>
      <c r="G68" s="3">
        <f t="shared" si="26"/>
        <v>67.93478260869566</v>
      </c>
      <c r="H68" s="3">
        <f t="shared" si="26"/>
        <v>54.645161290322584</v>
      </c>
      <c r="I68" s="3">
        <f t="shared" si="26"/>
        <v>17.27659574468085</v>
      </c>
      <c r="J68" s="3">
        <f t="shared" si="26"/>
        <v>10.689655172413794</v>
      </c>
      <c r="K68" s="24">
        <f t="shared" si="26"/>
        <v>10.130434782608695</v>
      </c>
      <c r="L68" s="3">
        <f t="shared" si="26"/>
        <v>3.3333333333333335</v>
      </c>
      <c r="M68" s="3">
        <f t="shared" si="26"/>
        <v>0.46078431372549017</v>
      </c>
      <c r="N68" s="23">
        <f t="shared" si="26"/>
        <v>0.96</v>
      </c>
      <c r="O68" s="3">
        <f t="shared" si="26"/>
        <v>17.051020408163264</v>
      </c>
      <c r="P68" s="23">
        <f t="shared" si="26"/>
        <v>11.731958762886597</v>
      </c>
    </row>
    <row r="69" spans="1:16" s="2" customFormat="1" ht="11.25">
      <c r="A69" s="13" t="s">
        <v>62</v>
      </c>
      <c r="B69" s="4"/>
      <c r="C69" s="4"/>
      <c r="D69" s="4"/>
      <c r="E69" s="4"/>
      <c r="F69" s="17"/>
      <c r="K69" s="18"/>
      <c r="L69" s="4"/>
      <c r="M69" s="4"/>
      <c r="N69" s="17"/>
      <c r="O69" s="4"/>
      <c r="P69" s="17"/>
    </row>
    <row r="70" spans="1:16" s="2" customFormat="1" ht="11.25">
      <c r="A70" s="2" t="s">
        <v>63</v>
      </c>
      <c r="B70" s="4"/>
      <c r="C70" s="27">
        <f aca="true" t="shared" si="27" ref="C70:K70">(C10-G10)/G10</f>
        <v>0.17147445108633178</v>
      </c>
      <c r="D70" s="25">
        <f t="shared" si="27"/>
        <v>0.29362413260718345</v>
      </c>
      <c r="E70" s="25">
        <f t="shared" si="27"/>
        <v>0.2152400106717015</v>
      </c>
      <c r="F70" s="26">
        <f t="shared" si="27"/>
        <v>0.12410039046036152</v>
      </c>
      <c r="G70" s="27">
        <f t="shared" si="27"/>
        <v>-0.0012127474830107713</v>
      </c>
      <c r="H70" s="27">
        <f t="shared" si="27"/>
        <v>-0.17120208109960805</v>
      </c>
      <c r="I70" s="27">
        <f t="shared" si="27"/>
        <v>-0.10545060674487342</v>
      </c>
      <c r="J70" s="27">
        <f t="shared" si="27"/>
        <v>-0.08412630781612461</v>
      </c>
      <c r="K70" s="28">
        <f t="shared" si="27"/>
        <v>0.01526322691573533</v>
      </c>
      <c r="L70" s="25">
        <f>(L10-243112)/243112</f>
        <v>0.17009855539833493</v>
      </c>
      <c r="M70" s="25">
        <f>(M10-251903)/251903</f>
        <v>0.08118998185809617</v>
      </c>
      <c r="N70" s="26">
        <f>(N10-227864)/227864</f>
        <v>0.20510041077133728</v>
      </c>
      <c r="O70" s="4">
        <f>(O10-P10)/P10</f>
        <v>0.05196278299790003</v>
      </c>
      <c r="P70" s="17">
        <f>(P10-242653)/242653</f>
        <v>0.07542869859428897</v>
      </c>
    </row>
    <row r="71" spans="1:16" s="2" customFormat="1" ht="11.25">
      <c r="A71" s="2" t="s">
        <v>64</v>
      </c>
      <c r="B71" s="4"/>
      <c r="C71" s="27">
        <f aca="true" t="shared" si="28" ref="C71:I73">(C12-G12)/G12</f>
        <v>0.09305332359386413</v>
      </c>
      <c r="D71" s="25">
        <f t="shared" si="28"/>
        <v>0.037232717694032046</v>
      </c>
      <c r="E71" s="25">
        <f t="shared" si="28"/>
        <v>0.05226129886381845</v>
      </c>
      <c r="F71" s="26">
        <f t="shared" si="28"/>
        <v>-0.11944460810306565</v>
      </c>
      <c r="G71" s="27">
        <f t="shared" si="28"/>
        <v>-0.08689504295395123</v>
      </c>
      <c r="H71" s="27">
        <f t="shared" si="28"/>
        <v>-0.1887494871936173</v>
      </c>
      <c r="I71" s="27">
        <f t="shared" si="28"/>
        <v>-0.13568823494496363</v>
      </c>
      <c r="J71" s="27">
        <f>J12/N12-1</f>
        <v>-0.013357015985790421</v>
      </c>
      <c r="K71" s="28">
        <f>K12/O12-1</f>
        <v>0.08042199930819782</v>
      </c>
      <c r="L71" s="25">
        <f>L12/143321-1</f>
        <v>0.13951898186588152</v>
      </c>
      <c r="M71" s="25">
        <f>M12/150307-1</f>
        <v>0.008782026119874553</v>
      </c>
      <c r="N71" s="26">
        <f>N12/142644-1</f>
        <v>0.08539440845741852</v>
      </c>
      <c r="O71" s="4">
        <f>O12/P12-1</f>
        <v>0.038558256496227905</v>
      </c>
      <c r="P71" s="17">
        <f>P12/168598-1</f>
        <v>-0.20748763330525866</v>
      </c>
    </row>
    <row r="72" spans="2:16" s="2" customFormat="1" ht="11.25">
      <c r="B72" s="4" t="s">
        <v>15</v>
      </c>
      <c r="C72" s="27">
        <f t="shared" si="28"/>
        <v>0.09292049739096615</v>
      </c>
      <c r="D72" s="25">
        <f t="shared" si="28"/>
        <v>-0.004251602243667323</v>
      </c>
      <c r="E72" s="25">
        <f t="shared" si="28"/>
        <v>0.0029746877126737062</v>
      </c>
      <c r="F72" s="26">
        <f t="shared" si="28"/>
        <v>-0.11722768344752259</v>
      </c>
      <c r="G72" s="27">
        <f t="shared" si="28"/>
        <v>-0.008037465304941434</v>
      </c>
      <c r="H72" s="27">
        <f t="shared" si="28"/>
        <v>-0.06837456003607949</v>
      </c>
      <c r="I72" s="27">
        <f t="shared" si="28"/>
        <v>-0.005480110038862932</v>
      </c>
      <c r="J72" s="27">
        <f>(J13-N13)/N13</f>
        <v>0.12501256716451256</v>
      </c>
      <c r="K72" s="28">
        <f>(K13-O13)/O13</f>
        <v>-0.007973379543497442</v>
      </c>
      <c r="L72" s="25">
        <f>L13/102237-1</f>
        <v>-0.0023474867220282247</v>
      </c>
      <c r="M72" s="25">
        <f>M13/109395-1</f>
        <v>-0.16263083321906846</v>
      </c>
      <c r="N72" s="26">
        <f>N13/104689-1</f>
        <v>-0.14490538643028394</v>
      </c>
      <c r="O72" s="4">
        <f>(O13-P13)/P13</f>
        <v>-0.1380804896822197</v>
      </c>
      <c r="P72" s="17">
        <f>P13/122478-1</f>
        <v>-0.10896650827087317</v>
      </c>
    </row>
    <row r="73" spans="2:16" s="2" customFormat="1" ht="11.25">
      <c r="B73" s="4" t="s">
        <v>16</v>
      </c>
      <c r="C73" s="35">
        <f t="shared" si="28"/>
        <v>0.09333062679026546</v>
      </c>
      <c r="D73" s="35">
        <f t="shared" si="28"/>
        <v>0.14244155012277143</v>
      </c>
      <c r="E73" s="35">
        <f t="shared" si="28"/>
        <v>0.16465169833045482</v>
      </c>
      <c r="F73" s="26">
        <f t="shared" si="28"/>
        <v>-0.12373431705958077</v>
      </c>
      <c r="G73" s="25">
        <f t="shared" si="28"/>
        <v>-0.21686832111631194</v>
      </c>
      <c r="H73" s="27">
        <f t="shared" si="28"/>
        <v>-0.3889758643183301</v>
      </c>
      <c r="I73" s="27">
        <f t="shared" si="28"/>
        <v>-0.33440514469453375</v>
      </c>
      <c r="J73" s="27">
        <f>(J14-N14)/N14</f>
        <v>-0.2030288181790341</v>
      </c>
      <c r="K73" s="28">
        <f>(K14-O14)/O14</f>
        <v>0.2664131528911755</v>
      </c>
      <c r="L73" s="25">
        <f>L14/41084-1</f>
        <v>0.4925518450004869</v>
      </c>
      <c r="M73" s="25">
        <f>M14/40912-1</f>
        <v>0.4671245600312868</v>
      </c>
      <c r="N73" s="26">
        <f>N14/37955-1</f>
        <v>0.72061651956264</v>
      </c>
      <c r="O73" s="4">
        <f>(O14-P14)/P14</f>
        <v>0.8258862930893645</v>
      </c>
      <c r="P73" s="17">
        <f>(P14-46119)/46119</f>
        <v>-0.4691125132808604</v>
      </c>
    </row>
    <row r="74" spans="1:16" s="2" customFormat="1" ht="11.25">
      <c r="A74" s="2" t="s">
        <v>65</v>
      </c>
      <c r="B74" s="4"/>
      <c r="C74" s="27">
        <f aca="true" t="shared" si="29" ref="C74:I75">(C16-G16)/G16</f>
        <v>0.035647619047619046</v>
      </c>
      <c r="D74" s="25">
        <f t="shared" si="29"/>
        <v>0.3084178951291184</v>
      </c>
      <c r="E74" s="25">
        <f t="shared" si="29"/>
        <v>0.2632254042843956</v>
      </c>
      <c r="F74" s="26">
        <f t="shared" si="29"/>
        <v>0.06162762179972489</v>
      </c>
      <c r="G74" s="27">
        <f t="shared" si="29"/>
        <v>0.02974996690089392</v>
      </c>
      <c r="H74" s="27">
        <f t="shared" si="29"/>
        <v>-0.1725833927280631</v>
      </c>
      <c r="I74" s="27">
        <f t="shared" si="29"/>
        <v>-0.10629841120193699</v>
      </c>
      <c r="J74" s="27">
        <f>J16/N16-1</f>
        <v>0.012748311294215497</v>
      </c>
      <c r="K74" s="28">
        <f>K16/O16-1</f>
        <v>0.0966793041327203</v>
      </c>
      <c r="L74" s="25">
        <f>L16/179509-1</f>
        <v>0.10205616431488118</v>
      </c>
      <c r="M74" s="25">
        <f>M16/194203-1</f>
        <v>-0.03872751708264033</v>
      </c>
      <c r="N74" s="26">
        <f>N16/166061-1</f>
        <v>0.11525885066331054</v>
      </c>
      <c r="O74" s="4">
        <f>O16/P16-1</f>
        <v>0.03232056313945808</v>
      </c>
      <c r="P74" s="17">
        <f>P16/189935-1</f>
        <v>-0.05160712875457396</v>
      </c>
    </row>
    <row r="75" spans="2:16" s="2" customFormat="1" ht="11.25">
      <c r="B75" s="4" t="s">
        <v>15</v>
      </c>
      <c r="C75" s="27">
        <f t="shared" si="29"/>
        <v>0.1309683301700718</v>
      </c>
      <c r="D75" s="25">
        <f t="shared" si="29"/>
        <v>0.21494778341651638</v>
      </c>
      <c r="E75" s="25">
        <f t="shared" si="29"/>
        <v>0.14757947030278892</v>
      </c>
      <c r="F75" s="26">
        <f t="shared" si="29"/>
        <v>0.1343200468933177</v>
      </c>
      <c r="G75" s="27">
        <f t="shared" si="29"/>
        <v>-0.18193442323499864</v>
      </c>
      <c r="H75" s="27">
        <f t="shared" si="29"/>
        <v>-0.28924991616052464</v>
      </c>
      <c r="I75" s="27">
        <f t="shared" si="29"/>
        <v>-0.2660143238482072</v>
      </c>
      <c r="J75" s="27">
        <f>(J17-N17)/N17</f>
        <v>-0.09805441985055689</v>
      </c>
      <c r="K75" s="28">
        <f>(K17-O17)/O17</f>
        <v>0.10028221382931507</v>
      </c>
      <c r="L75" s="25">
        <f>L17/116009-1</f>
        <v>0.15667749915954787</v>
      </c>
      <c r="M75" s="25">
        <f>M17/117575-1</f>
        <v>0.10561769083563677</v>
      </c>
      <c r="N75" s="26">
        <f>N17/100313-1</f>
        <v>0.1313389092141597</v>
      </c>
      <c r="O75" s="4">
        <f>(O17-P17)/P17</f>
        <v>0.19721882456738385</v>
      </c>
      <c r="P75" s="17">
        <f>(P17-90307)/90307</f>
        <v>0.10447695084544942</v>
      </c>
    </row>
    <row r="76" spans="2:16" s="2" customFormat="1" ht="11.25">
      <c r="B76" s="4" t="s">
        <v>16</v>
      </c>
      <c r="C76" s="27">
        <f aca="true" t="shared" si="30" ref="C76:K76">(C21-G21)/G21</f>
        <v>-0.06429240313707128</v>
      </c>
      <c r="D76" s="25">
        <f t="shared" si="30"/>
        <v>0.43890799970723854</v>
      </c>
      <c r="E76" s="25">
        <f t="shared" si="30"/>
        <v>0.4177108855442772</v>
      </c>
      <c r="F76" s="26">
        <f t="shared" si="30"/>
        <v>-0.025703621980704677</v>
      </c>
      <c r="G76" s="27">
        <f t="shared" si="30"/>
        <v>0.4131366737886829</v>
      </c>
      <c r="H76" s="27">
        <f t="shared" si="30"/>
        <v>0.07339262145685375</v>
      </c>
      <c r="I76" s="27">
        <f t="shared" si="30"/>
        <v>0.2599446100654448</v>
      </c>
      <c r="J76" s="27">
        <f t="shared" si="30"/>
        <v>0.18809699775493982</v>
      </c>
      <c r="K76" s="28">
        <f t="shared" si="30"/>
        <v>0.0902136996182862</v>
      </c>
      <c r="L76" s="25">
        <f>L21/63500-1</f>
        <v>0.0022677165354330064</v>
      </c>
      <c r="M76" s="25">
        <f>M21/76628-1</f>
        <v>-0.2602051469436759</v>
      </c>
      <c r="N76" s="26">
        <f>N21/65747-1</f>
        <v>0.09074178289503698</v>
      </c>
      <c r="O76" s="4">
        <f>(O21-P21)/P21</f>
        <v>-0.17227052779539997</v>
      </c>
      <c r="P76" s="17">
        <f>(P21-99627)/99627</f>
        <v>-0.193080189105363</v>
      </c>
    </row>
    <row r="77" spans="1:16" s="2" customFormat="1" ht="11.25">
      <c r="A77" s="2" t="s">
        <v>66</v>
      </c>
      <c r="B77" s="4"/>
      <c r="C77" s="27">
        <f aca="true" t="shared" si="31" ref="C77:I77">C25/G25-1</f>
        <v>0.06540157845868144</v>
      </c>
      <c r="D77" s="25">
        <f t="shared" si="31"/>
        <v>-0.0767382489863343</v>
      </c>
      <c r="E77" s="25">
        <f t="shared" si="31"/>
        <v>-0.05317010780193676</v>
      </c>
      <c r="F77" s="26">
        <f t="shared" si="31"/>
        <v>0.011304238302159986</v>
      </c>
      <c r="G77" s="27">
        <f t="shared" si="31"/>
        <v>0.054719059860448116</v>
      </c>
      <c r="H77" s="27">
        <f t="shared" si="31"/>
        <v>0.03774467024061834</v>
      </c>
      <c r="I77" s="27">
        <f t="shared" si="31"/>
        <v>0.042840356950045955</v>
      </c>
      <c r="J77" s="27">
        <f>(J25-N25)/N25</f>
        <v>0.009632808774439675</v>
      </c>
      <c r="K77" s="28">
        <f>(K25-O25)/O25</f>
        <v>-0.008044685953674751</v>
      </c>
      <c r="L77" s="25">
        <f>(L25-32832)/32832</f>
        <v>-0.022782651072124755</v>
      </c>
      <c r="M77" s="25">
        <f>(M25-29336)/29336</f>
        <v>0.07339105535860377</v>
      </c>
      <c r="N77" s="26">
        <f>(N25-22676)/22676</f>
        <v>0.3871494090668548</v>
      </c>
      <c r="O77" s="4">
        <f>(O25-P25)/P25</f>
        <v>0.42935867395643496</v>
      </c>
      <c r="P77" s="17">
        <f>(P25-21259)/21259</f>
        <v>0.08405851639305706</v>
      </c>
    </row>
    <row r="78" spans="1:16" s="2" customFormat="1" ht="11.25">
      <c r="A78" s="3" t="s">
        <v>67</v>
      </c>
      <c r="B78" s="3"/>
      <c r="C78" s="29">
        <f aca="true" t="shared" si="32" ref="C78:K78">(C40-G40)/G40</f>
        <v>0.2104</v>
      </c>
      <c r="D78" s="29">
        <f t="shared" si="32"/>
        <v>-0.7276662731208186</v>
      </c>
      <c r="E78" s="29">
        <f t="shared" si="32"/>
        <v>-0.12007389162561577</v>
      </c>
      <c r="F78" s="30">
        <f t="shared" si="32"/>
        <v>0.5634408602150538</v>
      </c>
      <c r="G78" s="29">
        <f t="shared" si="32"/>
        <v>5.706008583690987</v>
      </c>
      <c r="H78" s="29">
        <f t="shared" si="32"/>
        <v>13.947058823529412</v>
      </c>
      <c r="I78" s="29">
        <f t="shared" si="32"/>
        <v>33.5531914893617</v>
      </c>
      <c r="J78" s="29">
        <f t="shared" si="32"/>
        <v>8.6875</v>
      </c>
      <c r="K78" s="31">
        <f t="shared" si="32"/>
        <v>-0.4422501496110114</v>
      </c>
      <c r="L78" s="29">
        <f>L40/1559-1</f>
        <v>-0.7819114817190507</v>
      </c>
      <c r="M78" s="29">
        <f>M40/1185-1</f>
        <v>-0.960337552742616</v>
      </c>
      <c r="N78" s="30">
        <f>N40/659-1</f>
        <v>-0.8543247344461304</v>
      </c>
      <c r="O78" s="3">
        <f>(O40-P40)/P40</f>
        <v>0.46836555360281196</v>
      </c>
      <c r="P78" s="23">
        <f>(P40-Q247)/1245</f>
        <v>0.9140562248995984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2017-06-16T16:03:00Z</dcterms:created>
  <dcterms:modified xsi:type="dcterms:W3CDTF">2017-06-16T16:03:05Z</dcterms:modified>
  <cp:category/>
  <cp:version/>
  <cp:contentType/>
  <cp:contentStatus/>
</cp:coreProperties>
</file>