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Nación Arg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<sst xmlns="http://schemas.openxmlformats.org/spreadsheetml/2006/main" count="85" uniqueCount="69">
  <si>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CUADRO No. 19-9</t>
  </si>
  <si>
    <t>BANCO DE LA NACION ARGENTINA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</si>
  <si>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</si>
  <si>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</si>
  <si>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</si>
  <si>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</si>
  <si>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</si>
  <si>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</si>
  <si>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</si>
  <si>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</si>
  <si>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</si>
  <si>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</si>
  <si>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</si>
  <si>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</si>
  <si>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</si>
  <si>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</si>
  <si>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</si>
  <si>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</si>
  <si>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</si>
  <si>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</si>
  <si>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</si>
  <si>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</si>
  <si>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</si>
  <si>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</si>
  <si>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</si>
  <si>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</si>
  <si>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</si>
  <si>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</si>
  <si>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</si>
  <si>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</si>
  <si>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</si>
  <si>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</si>
  <si>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</si>
  <si>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</si>
  <si>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</si>
  <si>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</si>
  <si>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</si>
  <si>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</si>
  <si>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</si>
  <si>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</si>
  <si>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</si>
  <si>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/Préstamos Totales</t>
  </si>
  <si>
    <t>Patrimonio /Activos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</si>
  <si>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</si>
  <si>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</si>
  <si>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</si>
  <si>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</si>
  <si>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</si>
  <si>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</si>
  <si>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</si>
  <si>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</si>
  <si>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</si>
  <si>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</si>
  <si>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</si>
  <si>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</si>
  <si>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</si>
  <si>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</si>
  <si>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</si>
  <si>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</si>
  <si>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</si>
  <si>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</si>
  <si>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</si>
  <si>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</si>
  <si>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</si>
  <si>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</si>
  <si>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 xml:space="preserve"> 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</si>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</sst>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4" xfId="15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2" fontId="2" fillId="0" borderId="0" xfId="19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82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11.421875" defaultRowHeight="12.75"/>
  <cols>
    <col min="1" max="1" width="2.8515625" style="1" customWidth="1"/>
    <col min="2" max="2" width="39.00390625" style="1" customWidth="1"/>
    <col min="3" max="3" width="9.421875" style="1" customWidth="1"/>
    <col min="4" max="4" width="10.7109375" style="1" customWidth="1"/>
    <col min="5" max="6" width="7.7109375" style="1" bestFit="1" customWidth="1"/>
    <col min="7" max="7" width="8.7109375" style="1" customWidth="1"/>
    <col min="8" max="8" width="10.57421875" style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6"/>
      <c r="C2" s="46"/>
      <c r="D2" s="46"/>
      <c r="E2" s="46"/>
      <c r="F2" s="46" t="s">
        <v>0</v>
      </c>
      <c r="H2" s="46"/>
      <c r="I2" s="46"/>
      <c r="J2" s="46"/>
      <c r="K2" s="46"/>
      <c r="L2" s="46"/>
    </row>
    <row r="3" spans="2:12" ht="11.25">
      <c r="B3" s="46"/>
      <c r="C3" s="46"/>
      <c r="D3" s="46"/>
      <c r="E3" s="46"/>
      <c r="F3" s="46" t="s">
        <v>1</v>
      </c>
      <c r="H3" s="46"/>
      <c r="I3" s="46"/>
      <c r="J3" s="46"/>
      <c r="K3" s="46"/>
      <c r="L3" s="46"/>
    </row>
    <row r="4" spans="2:12" ht="11.25">
      <c r="B4" s="46"/>
      <c r="C4" s="46"/>
      <c r="D4" s="46"/>
      <c r="E4" s="46"/>
      <c r="F4" s="46" t="s">
        <v>2</v>
      </c>
      <c r="H4" s="46"/>
      <c r="I4" s="46"/>
      <c r="J4" s="46"/>
      <c r="K4" s="46"/>
      <c r="L4" s="46"/>
    </row>
    <row r="5" spans="2:12" ht="11.25">
      <c r="B5" s="45"/>
      <c r="C5" s="45"/>
      <c r="D5" s="45"/>
      <c r="E5" s="45"/>
      <c r="F5" s="45" t="s">
        <v>3</v>
      </c>
      <c r="H5" s="45"/>
      <c r="I5" s="45"/>
      <c r="J5" s="45"/>
      <c r="K5" s="45"/>
      <c r="L5" s="45"/>
    </row>
    <row r="6" spans="1:12" ht="11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3">
        <v>2001</v>
      </c>
      <c r="D8" s="53"/>
      <c r="E8" s="53"/>
      <c r="F8" s="54"/>
      <c r="G8" s="52">
        <v>2000</v>
      </c>
      <c r="H8" s="53"/>
      <c r="I8" s="53"/>
      <c r="J8" s="54"/>
      <c r="K8" s="53" t="s">
        <v>4</v>
      </c>
      <c r="L8" s="53"/>
    </row>
    <row r="9" spans="1:12" s="4" customFormat="1" ht="11.25">
      <c r="A9" s="47"/>
      <c r="B9" s="47"/>
      <c r="C9" s="48" t="s">
        <v>5</v>
      </c>
      <c r="D9" s="48" t="s">
        <v>6</v>
      </c>
      <c r="E9" s="47" t="s">
        <v>7</v>
      </c>
      <c r="F9" s="47" t="s">
        <v>8</v>
      </c>
      <c r="G9" s="49" t="s">
        <v>5</v>
      </c>
      <c r="H9" s="48" t="s">
        <v>6</v>
      </c>
      <c r="I9" s="48" t="s">
        <v>7</v>
      </c>
      <c r="J9" s="50" t="s">
        <v>8</v>
      </c>
      <c r="K9" s="51" t="s">
        <v>9</v>
      </c>
      <c r="L9" s="51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308895</v>
      </c>
      <c r="D11" s="9">
        <v>163415</v>
      </c>
      <c r="E11" s="9">
        <v>175459</v>
      </c>
      <c r="F11" s="9">
        <v>170927</v>
      </c>
      <c r="G11" s="10">
        <v>162580</v>
      </c>
      <c r="H11" s="11">
        <v>141069</v>
      </c>
      <c r="I11" s="11">
        <v>90244</v>
      </c>
      <c r="J11" s="12">
        <v>149055</v>
      </c>
      <c r="K11" s="9">
        <v>221257</v>
      </c>
      <c r="L11" s="9">
        <v>69279</v>
      </c>
    </row>
    <row r="12" spans="1:12" ht="11.25">
      <c r="A12" s="1" t="s">
        <v>13</v>
      </c>
      <c r="C12" s="9">
        <v>165655</v>
      </c>
      <c r="D12" s="9">
        <v>10939</v>
      </c>
      <c r="E12" s="9">
        <v>10737</v>
      </c>
      <c r="F12" s="9">
        <v>7352</v>
      </c>
      <c r="G12" s="10">
        <v>7516</v>
      </c>
      <c r="H12" s="11">
        <v>7199</v>
      </c>
      <c r="I12" s="11">
        <v>2016</v>
      </c>
      <c r="J12" s="12">
        <v>15018</v>
      </c>
      <c r="K12" s="9">
        <v>14219</v>
      </c>
      <c r="L12" s="9">
        <v>759</v>
      </c>
    </row>
    <row r="13" spans="1:12" ht="11.25">
      <c r="A13" s="1" t="s">
        <v>14</v>
      </c>
      <c r="C13" s="9">
        <f aca="true" t="shared" si="0" ref="C13:L13">C14+C15</f>
        <v>139389</v>
      </c>
      <c r="D13" s="9">
        <f t="shared" si="0"/>
        <v>149193</v>
      </c>
      <c r="E13" s="9">
        <f t="shared" si="0"/>
        <v>160193</v>
      </c>
      <c r="F13" s="9">
        <f t="shared" si="0"/>
        <v>160287</v>
      </c>
      <c r="G13" s="10">
        <f t="shared" si="0"/>
        <v>150284</v>
      </c>
      <c r="H13" s="11">
        <f t="shared" si="0"/>
        <v>130887</v>
      </c>
      <c r="I13" s="11">
        <f t="shared" si="0"/>
        <v>85193</v>
      </c>
      <c r="J13" s="12">
        <f t="shared" si="0"/>
        <v>130377</v>
      </c>
      <c r="K13" s="9">
        <f t="shared" si="0"/>
        <v>202684</v>
      </c>
      <c r="L13" s="9">
        <f t="shared" si="0"/>
        <v>66882</v>
      </c>
    </row>
    <row r="14" spans="2:12" ht="11.25">
      <c r="B14" s="1" t="s">
        <v>15</v>
      </c>
      <c r="C14" s="13">
        <v>0</v>
      </c>
      <c r="D14" s="13">
        <v>0</v>
      </c>
      <c r="E14" s="9">
        <v>0</v>
      </c>
      <c r="F14" s="9">
        <v>0</v>
      </c>
      <c r="G14" s="10"/>
      <c r="H14" s="11">
        <v>0</v>
      </c>
      <c r="I14" s="11">
        <v>0</v>
      </c>
      <c r="J14" s="12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139389</v>
      </c>
      <c r="D15" s="9">
        <v>149193</v>
      </c>
      <c r="E15" s="9">
        <v>160193</v>
      </c>
      <c r="F15" s="9">
        <v>160287</v>
      </c>
      <c r="G15" s="10">
        <v>150284</v>
      </c>
      <c r="H15" s="11">
        <v>130887</v>
      </c>
      <c r="I15" s="11">
        <v>85193</v>
      </c>
      <c r="J15" s="12">
        <v>130377</v>
      </c>
      <c r="K15" s="9">
        <v>202684</v>
      </c>
      <c r="L15" s="9">
        <v>66882</v>
      </c>
    </row>
    <row r="16" spans="1:12" ht="11.25">
      <c r="A16" s="1" t="s">
        <v>17</v>
      </c>
      <c r="C16" s="13">
        <v>0</v>
      </c>
      <c r="D16" s="13">
        <v>0</v>
      </c>
      <c r="E16" s="9">
        <v>0</v>
      </c>
      <c r="F16" s="9">
        <v>0</v>
      </c>
      <c r="G16" s="10"/>
      <c r="H16" s="11">
        <v>0</v>
      </c>
      <c r="I16" s="11">
        <v>0</v>
      </c>
      <c r="J16" s="12">
        <v>0</v>
      </c>
      <c r="K16" s="9">
        <v>0</v>
      </c>
      <c r="L16" s="9">
        <v>0</v>
      </c>
    </row>
    <row r="17" spans="1:12" ht="11.25">
      <c r="A17" s="1" t="s">
        <v>18</v>
      </c>
      <c r="C17" s="9">
        <f aca="true" t="shared" si="1" ref="C17:L17">C18+C22</f>
        <v>157677</v>
      </c>
      <c r="D17" s="9">
        <f t="shared" si="1"/>
        <v>1072</v>
      </c>
      <c r="E17" s="9">
        <f t="shared" si="1"/>
        <v>1074</v>
      </c>
      <c r="F17" s="9">
        <f t="shared" si="1"/>
        <v>1178</v>
      </c>
      <c r="G17" s="10">
        <f t="shared" si="1"/>
        <v>21912</v>
      </c>
      <c r="H17" s="11">
        <f t="shared" si="1"/>
        <v>21733</v>
      </c>
      <c r="I17" s="11">
        <f t="shared" si="1"/>
        <v>21889</v>
      </c>
      <c r="J17" s="12">
        <f t="shared" si="1"/>
        <v>53146</v>
      </c>
      <c r="K17" s="9">
        <f t="shared" si="1"/>
        <v>54025</v>
      </c>
      <c r="L17" s="9">
        <f t="shared" si="1"/>
        <v>55635</v>
      </c>
    </row>
    <row r="18" spans="2:12" ht="11.25">
      <c r="B18" s="1" t="s">
        <v>15</v>
      </c>
      <c r="C18" s="9">
        <f aca="true" t="shared" si="2" ref="C18:L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0">
        <f t="shared" si="2"/>
        <v>0</v>
      </c>
      <c r="H18" s="11">
        <f t="shared" si="2"/>
        <v>0</v>
      </c>
      <c r="I18" s="11">
        <f t="shared" si="2"/>
        <v>0</v>
      </c>
      <c r="J18" s="12">
        <f t="shared" si="2"/>
        <v>0</v>
      </c>
      <c r="K18" s="9">
        <f t="shared" si="2"/>
        <v>0</v>
      </c>
      <c r="L18" s="9">
        <f t="shared" si="2"/>
        <v>0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11">
        <v>0</v>
      </c>
      <c r="J20" s="12">
        <v>0</v>
      </c>
      <c r="K20" s="9">
        <v>0</v>
      </c>
      <c r="L20" s="9">
        <v>0</v>
      </c>
    </row>
    <row r="21" spans="2:12" ht="11.25">
      <c r="B21" s="1" t="s">
        <v>21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157677</v>
      </c>
      <c r="D22" s="9">
        <f t="shared" si="3"/>
        <v>1072</v>
      </c>
      <c r="E22" s="9">
        <f t="shared" si="3"/>
        <v>1074</v>
      </c>
      <c r="F22" s="9">
        <f t="shared" si="3"/>
        <v>1178</v>
      </c>
      <c r="G22" s="10">
        <f t="shared" si="3"/>
        <v>21912</v>
      </c>
      <c r="H22" s="11">
        <f t="shared" si="3"/>
        <v>21733</v>
      </c>
      <c r="I22" s="11">
        <f t="shared" si="3"/>
        <v>21889</v>
      </c>
      <c r="J22" s="12">
        <f t="shared" si="3"/>
        <v>53146</v>
      </c>
      <c r="K22" s="9">
        <f t="shared" si="3"/>
        <v>54025</v>
      </c>
      <c r="L22" s="9">
        <f t="shared" si="3"/>
        <v>55635</v>
      </c>
    </row>
    <row r="23" spans="2:12" ht="11.25">
      <c r="B23" s="1" t="s">
        <v>20</v>
      </c>
      <c r="C23" s="9">
        <f>43+3775</f>
        <v>3818</v>
      </c>
      <c r="D23" s="9">
        <f>57+914</f>
        <v>971</v>
      </c>
      <c r="E23" s="9">
        <v>966</v>
      </c>
      <c r="F23" s="9">
        <v>1105</v>
      </c>
      <c r="G23" s="10">
        <f>47+1185</f>
        <v>1232</v>
      </c>
      <c r="H23" s="11">
        <v>1010</v>
      </c>
      <c r="I23" s="11">
        <v>956</v>
      </c>
      <c r="J23" s="12">
        <v>867</v>
      </c>
      <c r="K23" s="9">
        <v>691</v>
      </c>
      <c r="L23" s="9">
        <v>676</v>
      </c>
    </row>
    <row r="24" spans="2:12" ht="11.25">
      <c r="B24" s="1" t="s">
        <v>21</v>
      </c>
      <c r="C24" s="9">
        <f>87+6+153766</f>
        <v>153859</v>
      </c>
      <c r="D24" s="9">
        <v>101</v>
      </c>
      <c r="E24" s="9">
        <v>108</v>
      </c>
      <c r="F24" s="9">
        <v>73</v>
      </c>
      <c r="G24" s="10">
        <f>87+5593+15000</f>
        <v>20680</v>
      </c>
      <c r="H24" s="11">
        <v>20723</v>
      </c>
      <c r="I24" s="11">
        <v>20933</v>
      </c>
      <c r="J24" s="12">
        <v>52279</v>
      </c>
      <c r="K24" s="9">
        <v>53334</v>
      </c>
      <c r="L24" s="9">
        <v>54959</v>
      </c>
    </row>
    <row r="25" spans="1:12" ht="11.25">
      <c r="A25" s="2" t="s">
        <v>22</v>
      </c>
      <c r="B25" s="2"/>
      <c r="C25" s="14">
        <v>8082</v>
      </c>
      <c r="D25" s="14">
        <v>7775</v>
      </c>
      <c r="E25" s="14">
        <v>7696</v>
      </c>
      <c r="F25" s="14">
        <v>7648</v>
      </c>
      <c r="G25" s="15">
        <v>7625</v>
      </c>
      <c r="H25" s="14">
        <v>7564</v>
      </c>
      <c r="I25" s="14">
        <v>7485</v>
      </c>
      <c r="J25" s="16">
        <v>7353</v>
      </c>
      <c r="K25" s="14">
        <v>7207</v>
      </c>
      <c r="L25" s="14">
        <v>6452</v>
      </c>
    </row>
    <row r="26" spans="1:12" ht="11.25">
      <c r="A26" s="4" t="s">
        <v>23</v>
      </c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235737.5</v>
      </c>
      <c r="D27" s="9">
        <f>(D11+H11)/2</f>
        <v>152242</v>
      </c>
      <c r="E27" s="9">
        <f>(E11+I11)/2</f>
        <v>132851.5</v>
      </c>
      <c r="F27" s="9">
        <f>+(F11+J11)/2</f>
        <v>159991</v>
      </c>
      <c r="G27" s="10">
        <f>+(G11+K11)/2</f>
        <v>191918.5</v>
      </c>
      <c r="H27" s="11">
        <f>+(195569+H11)/2</f>
        <v>168319</v>
      </c>
      <c r="I27" s="11">
        <f>+(189652+I11)/2</f>
        <v>139948</v>
      </c>
      <c r="J27" s="12">
        <f>+(132340+J11)/2</f>
        <v>140697.5</v>
      </c>
      <c r="K27" s="9">
        <f>(K11+L11)/2</f>
        <v>145268</v>
      </c>
      <c r="L27" s="9">
        <f>(L11+168421)/2</f>
        <v>118850</v>
      </c>
    </row>
    <row r="28" spans="1:12" ht="11.25">
      <c r="A28" s="1" t="s">
        <v>24</v>
      </c>
      <c r="C28" s="9">
        <f aca="true" t="shared" si="4" ref="C28:L28">C29+C30</f>
        <v>144836.5</v>
      </c>
      <c r="D28" s="9">
        <f t="shared" si="4"/>
        <v>140040</v>
      </c>
      <c r="E28" s="9">
        <f t="shared" si="4"/>
        <v>122693</v>
      </c>
      <c r="F28" s="9">
        <f t="shared" si="4"/>
        <v>145332</v>
      </c>
      <c r="G28" s="10">
        <f t="shared" si="4"/>
        <v>176484</v>
      </c>
      <c r="H28" s="11">
        <f t="shared" si="4"/>
        <v>162003.5</v>
      </c>
      <c r="I28" s="11">
        <f t="shared" si="4"/>
        <v>125008</v>
      </c>
      <c r="J28" s="12">
        <f t="shared" si="4"/>
        <v>129759</v>
      </c>
      <c r="K28" s="9">
        <f t="shared" si="4"/>
        <v>134783</v>
      </c>
      <c r="L28" s="9">
        <f t="shared" si="4"/>
        <v>99354</v>
      </c>
    </row>
    <row r="29" spans="2:12" ht="11.25">
      <c r="B29" s="1" t="s">
        <v>14</v>
      </c>
      <c r="C29" s="9">
        <f>(C13+G13)/2</f>
        <v>144836.5</v>
      </c>
      <c r="D29" s="9">
        <f>(D13+H13)/2</f>
        <v>140040</v>
      </c>
      <c r="E29" s="9">
        <f>(E13+I13)/2</f>
        <v>122693</v>
      </c>
      <c r="F29" s="9">
        <f>+(F13+J13)/2</f>
        <v>145332</v>
      </c>
      <c r="G29" s="10">
        <f>+(G13+K13)/2</f>
        <v>176484</v>
      </c>
      <c r="H29" s="11">
        <f>+(189977+H13)/2</f>
        <v>160432</v>
      </c>
      <c r="I29" s="11">
        <f>+(161680+I13)/2</f>
        <v>123436.5</v>
      </c>
      <c r="J29" s="12">
        <f>+(129141+J13)/2</f>
        <v>129759</v>
      </c>
      <c r="K29" s="9">
        <f>(K13+L13)/2</f>
        <v>134783</v>
      </c>
      <c r="L29" s="9">
        <f>(L13+131576)/2</f>
        <v>99229</v>
      </c>
    </row>
    <row r="30" spans="2:12" ht="11.25">
      <c r="B30" s="1" t="s">
        <v>17</v>
      </c>
      <c r="C30" s="9">
        <f>(C16+G16)/2</f>
        <v>0</v>
      </c>
      <c r="D30" s="9">
        <f>(D16+H16)/2</f>
        <v>0</v>
      </c>
      <c r="E30" s="9">
        <f>(E16+I16)/2</f>
        <v>0</v>
      </c>
      <c r="F30" s="9">
        <f>+(F16+J16)/2</f>
        <v>0</v>
      </c>
      <c r="G30" s="10">
        <f>+(G16+K16)/2</f>
        <v>0</v>
      </c>
      <c r="H30" s="11">
        <f>+(3143+H16)/2</f>
        <v>1571.5</v>
      </c>
      <c r="I30" s="11">
        <f>+(3143+I16)/2</f>
        <v>1571.5</v>
      </c>
      <c r="J30" s="12">
        <v>0</v>
      </c>
      <c r="K30" s="9">
        <f>(K16+L16)/2</f>
        <v>0</v>
      </c>
      <c r="L30" s="9">
        <f>(L16+250)/2</f>
        <v>125</v>
      </c>
    </row>
    <row r="31" spans="1:12" ht="11.25">
      <c r="A31" s="2" t="s">
        <v>22</v>
      </c>
      <c r="B31" s="2"/>
      <c r="C31" s="14">
        <f>(C25+G25)/2</f>
        <v>7853.5</v>
      </c>
      <c r="D31" s="14">
        <f>(D25+H25)/2</f>
        <v>7669.5</v>
      </c>
      <c r="E31" s="14">
        <f>(E25+I25)/2</f>
        <v>7590.5</v>
      </c>
      <c r="F31" s="14">
        <f>+(F25+J25)/2</f>
        <v>7500.5</v>
      </c>
      <c r="G31" s="15">
        <f>+(G25+K25)/2</f>
        <v>7416</v>
      </c>
      <c r="H31" s="14">
        <f>+(6988+H25)/2</f>
        <v>7276</v>
      </c>
      <c r="I31" s="14">
        <f>+(6753+I25)/2</f>
        <v>7119</v>
      </c>
      <c r="J31" s="16">
        <f>+(6481+J25)/2</f>
        <v>6917</v>
      </c>
      <c r="K31" s="14">
        <f>(K25+L25)/2</f>
        <v>6829.5</v>
      </c>
      <c r="L31" s="14">
        <f>(L25+33924)/2</f>
        <v>20188</v>
      </c>
    </row>
    <row r="32" spans="1:10" ht="11.25">
      <c r="A32" s="4" t="s">
        <v>25</v>
      </c>
      <c r="F32" s="9"/>
      <c r="G32" s="17"/>
      <c r="H32" s="18"/>
      <c r="I32" s="18"/>
      <c r="J32" s="19"/>
    </row>
    <row r="33" spans="1:12" ht="11.25">
      <c r="A33" s="1" t="s">
        <v>26</v>
      </c>
      <c r="C33" s="9">
        <v>12555</v>
      </c>
      <c r="D33" s="9">
        <v>8298</v>
      </c>
      <c r="E33" s="9">
        <v>5642</v>
      </c>
      <c r="F33" s="9">
        <v>2874</v>
      </c>
      <c r="G33" s="10">
        <v>9198</v>
      </c>
      <c r="H33" s="11">
        <v>6449</v>
      </c>
      <c r="I33" s="11">
        <v>4171</v>
      </c>
      <c r="J33" s="12">
        <v>2587</v>
      </c>
      <c r="K33" s="9">
        <v>8600</v>
      </c>
      <c r="L33" s="9">
        <v>3513</v>
      </c>
    </row>
    <row r="34" spans="1:12" ht="11.25">
      <c r="A34" s="1" t="s">
        <v>27</v>
      </c>
      <c r="C34" s="9">
        <v>11696</v>
      </c>
      <c r="D34" s="9">
        <v>7836</v>
      </c>
      <c r="E34" s="9">
        <v>5355</v>
      </c>
      <c r="F34" s="9">
        <v>2733</v>
      </c>
      <c r="G34" s="10">
        <v>8385</v>
      </c>
      <c r="H34" s="11">
        <v>5787</v>
      </c>
      <c r="I34" s="11">
        <v>3682</v>
      </c>
      <c r="J34" s="12">
        <v>2314</v>
      </c>
      <c r="K34" s="9">
        <v>7417</v>
      </c>
      <c r="L34" s="9">
        <v>2314</v>
      </c>
    </row>
    <row r="35" spans="1:12" ht="11.25">
      <c r="A35" s="1" t="s">
        <v>28</v>
      </c>
      <c r="C35" s="1">
        <f>+C33-C34</f>
        <v>859</v>
      </c>
      <c r="D35" s="9">
        <f aca="true" t="shared" si="5" ref="D35:L35">D33-D34</f>
        <v>462</v>
      </c>
      <c r="E35" s="9">
        <f t="shared" si="5"/>
        <v>287</v>
      </c>
      <c r="F35" s="9">
        <f t="shared" si="5"/>
        <v>141</v>
      </c>
      <c r="G35" s="10">
        <f t="shared" si="5"/>
        <v>813</v>
      </c>
      <c r="H35" s="11">
        <f t="shared" si="5"/>
        <v>662</v>
      </c>
      <c r="I35" s="11">
        <f t="shared" si="5"/>
        <v>489</v>
      </c>
      <c r="J35" s="12">
        <f t="shared" si="5"/>
        <v>273</v>
      </c>
      <c r="K35" s="9">
        <f t="shared" si="5"/>
        <v>1183</v>
      </c>
      <c r="L35" s="9">
        <f t="shared" si="5"/>
        <v>1199</v>
      </c>
    </row>
    <row r="36" spans="1:12" ht="11.25">
      <c r="A36" s="1" t="s">
        <v>29</v>
      </c>
      <c r="C36" s="1">
        <v>10</v>
      </c>
      <c r="D36" s="9">
        <v>9</v>
      </c>
      <c r="E36" s="9">
        <v>7</v>
      </c>
      <c r="F36" s="9">
        <v>5</v>
      </c>
      <c r="G36" s="10">
        <v>1</v>
      </c>
      <c r="H36" s="11">
        <v>0</v>
      </c>
      <c r="I36" s="11">
        <v>0</v>
      </c>
      <c r="J36" s="12">
        <v>0</v>
      </c>
      <c r="K36" s="9">
        <v>4</v>
      </c>
      <c r="L36" s="9">
        <v>13</v>
      </c>
    </row>
    <row r="37" spans="1:12" ht="11.25">
      <c r="A37" s="1" t="s">
        <v>30</v>
      </c>
      <c r="C37" s="1">
        <f>+C36+C35</f>
        <v>869</v>
      </c>
      <c r="D37" s="9">
        <f aca="true" t="shared" si="6" ref="D37:L37">D35+D36</f>
        <v>471</v>
      </c>
      <c r="E37" s="9">
        <f t="shared" si="6"/>
        <v>294</v>
      </c>
      <c r="F37" s="9">
        <f t="shared" si="6"/>
        <v>146</v>
      </c>
      <c r="G37" s="10">
        <f t="shared" si="6"/>
        <v>814</v>
      </c>
      <c r="H37" s="11">
        <f t="shared" si="6"/>
        <v>662</v>
      </c>
      <c r="I37" s="11">
        <f t="shared" si="6"/>
        <v>489</v>
      </c>
      <c r="J37" s="12">
        <f t="shared" si="6"/>
        <v>273</v>
      </c>
      <c r="K37" s="9">
        <f t="shared" si="6"/>
        <v>1187</v>
      </c>
      <c r="L37" s="9">
        <f t="shared" si="6"/>
        <v>1212</v>
      </c>
    </row>
    <row r="38" spans="1:12" ht="11.25">
      <c r="A38" s="1" t="s">
        <v>31</v>
      </c>
      <c r="C38" s="1">
        <v>412</v>
      </c>
      <c r="D38" s="9">
        <v>322</v>
      </c>
      <c r="E38" s="9">
        <v>224</v>
      </c>
      <c r="F38" s="9">
        <v>123</v>
      </c>
      <c r="G38" s="10">
        <v>395</v>
      </c>
      <c r="H38" s="11">
        <v>305</v>
      </c>
      <c r="I38" s="11">
        <v>212</v>
      </c>
      <c r="J38" s="12">
        <v>129</v>
      </c>
      <c r="K38" s="9">
        <v>429</v>
      </c>
      <c r="L38" s="9">
        <v>457</v>
      </c>
    </row>
    <row r="39" spans="1:12" ht="11.25">
      <c r="A39" s="1" t="s">
        <v>32</v>
      </c>
      <c r="C39" s="1">
        <f>+C37-C38</f>
        <v>457</v>
      </c>
      <c r="D39" s="9">
        <f aca="true" t="shared" si="7" ref="D39:L39">D37-D38</f>
        <v>149</v>
      </c>
      <c r="E39" s="9">
        <f t="shared" si="7"/>
        <v>70</v>
      </c>
      <c r="F39" s="9">
        <f t="shared" si="7"/>
        <v>23</v>
      </c>
      <c r="G39" s="10">
        <f t="shared" si="7"/>
        <v>419</v>
      </c>
      <c r="H39" s="11">
        <f t="shared" si="7"/>
        <v>357</v>
      </c>
      <c r="I39" s="11">
        <f t="shared" si="7"/>
        <v>277</v>
      </c>
      <c r="J39" s="12">
        <f t="shared" si="7"/>
        <v>144</v>
      </c>
      <c r="K39" s="9">
        <f t="shared" si="7"/>
        <v>758</v>
      </c>
      <c r="L39" s="9">
        <f t="shared" si="7"/>
        <v>755</v>
      </c>
    </row>
    <row r="40" spans="1:12" ht="11.25">
      <c r="A40" s="2" t="s">
        <v>33</v>
      </c>
      <c r="B40" s="2"/>
      <c r="C40" s="2">
        <v>457</v>
      </c>
      <c r="D40" s="14">
        <v>149</v>
      </c>
      <c r="E40" s="14">
        <v>70</v>
      </c>
      <c r="F40" s="14">
        <v>23</v>
      </c>
      <c r="G40" s="15">
        <v>419</v>
      </c>
      <c r="H40" s="14">
        <v>357</v>
      </c>
      <c r="I40" s="14">
        <v>277</v>
      </c>
      <c r="J40" s="16">
        <v>144</v>
      </c>
      <c r="K40" s="14">
        <v>758</v>
      </c>
      <c r="L40" s="14">
        <v>755</v>
      </c>
    </row>
    <row r="41" spans="1:12" ht="11.25">
      <c r="A41" s="20" t="s">
        <v>34</v>
      </c>
      <c r="B41" s="3"/>
      <c r="C41" s="18"/>
      <c r="D41" s="18"/>
      <c r="E41" s="9"/>
      <c r="F41" s="3"/>
      <c r="G41" s="21"/>
      <c r="H41" s="3"/>
      <c r="I41" s="3"/>
      <c r="J41" s="22"/>
      <c r="K41" s="3"/>
      <c r="L41" s="3"/>
    </row>
    <row r="42" spans="1:12" ht="11.25">
      <c r="A42" s="18" t="s">
        <v>35</v>
      </c>
      <c r="B42" s="18"/>
      <c r="C42" s="18">
        <v>0</v>
      </c>
      <c r="D42" s="23">
        <v>0</v>
      </c>
      <c r="E42" s="23">
        <v>0</v>
      </c>
      <c r="F42" s="23">
        <v>0</v>
      </c>
      <c r="G42" s="24">
        <v>0</v>
      </c>
      <c r="H42" s="23">
        <v>0</v>
      </c>
      <c r="I42" s="23">
        <v>0</v>
      </c>
      <c r="J42" s="25">
        <v>0</v>
      </c>
      <c r="K42" s="23">
        <v>0</v>
      </c>
      <c r="L42" s="23">
        <v>0</v>
      </c>
    </row>
    <row r="43" spans="1:12" ht="11.25">
      <c r="A43" s="18" t="s">
        <v>36</v>
      </c>
      <c r="B43" s="18"/>
      <c r="C43" s="18">
        <v>0</v>
      </c>
      <c r="D43" s="23">
        <v>0</v>
      </c>
      <c r="E43" s="23">
        <v>0</v>
      </c>
      <c r="F43" s="23">
        <v>0</v>
      </c>
      <c r="G43" s="24">
        <v>0</v>
      </c>
      <c r="H43" s="23">
        <v>0</v>
      </c>
      <c r="I43" s="23">
        <v>0</v>
      </c>
      <c r="J43" s="25">
        <v>0</v>
      </c>
      <c r="K43" s="23">
        <v>0</v>
      </c>
      <c r="L43" s="23">
        <v>0</v>
      </c>
    </row>
    <row r="44" spans="1:12" ht="11.25">
      <c r="A44" s="18" t="s">
        <v>37</v>
      </c>
      <c r="B44" s="18"/>
      <c r="C44" s="26">
        <f aca="true" t="shared" si="8" ref="C44:L44">+C42/C13</f>
        <v>0</v>
      </c>
      <c r="D44" s="26">
        <f t="shared" si="8"/>
        <v>0</v>
      </c>
      <c r="E44" s="26">
        <f t="shared" si="8"/>
        <v>0</v>
      </c>
      <c r="F44" s="26">
        <f t="shared" si="8"/>
        <v>0</v>
      </c>
      <c r="G44" s="27">
        <f t="shared" si="8"/>
        <v>0</v>
      </c>
      <c r="H44" s="26">
        <f t="shared" si="8"/>
        <v>0</v>
      </c>
      <c r="I44" s="26">
        <f t="shared" si="8"/>
        <v>0</v>
      </c>
      <c r="J44" s="28">
        <f t="shared" si="8"/>
        <v>0</v>
      </c>
      <c r="K44" s="26">
        <f t="shared" si="8"/>
        <v>0</v>
      </c>
      <c r="L44" s="26">
        <f t="shared" si="8"/>
        <v>0</v>
      </c>
    </row>
    <row r="45" spans="1:12" ht="11.25">
      <c r="A45" s="18" t="s">
        <v>38</v>
      </c>
      <c r="B45" s="18"/>
      <c r="C45" s="26">
        <v>0</v>
      </c>
      <c r="D45" s="26">
        <v>0</v>
      </c>
      <c r="E45" s="26">
        <v>0</v>
      </c>
      <c r="F45" s="26">
        <v>0</v>
      </c>
      <c r="G45" s="27">
        <v>0</v>
      </c>
      <c r="H45" s="26">
        <v>0</v>
      </c>
      <c r="I45" s="26">
        <v>0</v>
      </c>
      <c r="J45" s="28">
        <v>0</v>
      </c>
      <c r="K45" s="26">
        <v>0</v>
      </c>
      <c r="L45" s="26">
        <v>0</v>
      </c>
    </row>
    <row r="46" spans="1:12" ht="11.25">
      <c r="A46" s="2" t="s">
        <v>39</v>
      </c>
      <c r="B46" s="2"/>
      <c r="C46" s="29">
        <f aca="true" t="shared" si="9" ref="C46:L46">+C43/C13</f>
        <v>0</v>
      </c>
      <c r="D46" s="29">
        <f t="shared" si="9"/>
        <v>0</v>
      </c>
      <c r="E46" s="29">
        <f t="shared" si="9"/>
        <v>0</v>
      </c>
      <c r="F46" s="29">
        <f t="shared" si="9"/>
        <v>0</v>
      </c>
      <c r="G46" s="30">
        <f t="shared" si="9"/>
        <v>0</v>
      </c>
      <c r="H46" s="29">
        <f t="shared" si="9"/>
        <v>0</v>
      </c>
      <c r="I46" s="29">
        <f t="shared" si="9"/>
        <v>0</v>
      </c>
      <c r="J46" s="31">
        <f t="shared" si="9"/>
        <v>0</v>
      </c>
      <c r="K46" s="29">
        <f t="shared" si="9"/>
        <v>0</v>
      </c>
      <c r="L46" s="29">
        <f t="shared" si="9"/>
        <v>0</v>
      </c>
    </row>
    <row r="47" spans="1:13" ht="11.25">
      <c r="A47" s="4" t="s">
        <v>40</v>
      </c>
      <c r="C47" s="3"/>
      <c r="D47" s="3"/>
      <c r="E47" s="3"/>
      <c r="F47" s="22"/>
      <c r="G47" s="3"/>
      <c r="H47" s="3"/>
      <c r="I47" s="3"/>
      <c r="J47" s="22"/>
      <c r="K47" s="3"/>
      <c r="L47" s="3"/>
      <c r="M47" s="18"/>
    </row>
    <row r="48" spans="1:13" ht="11.25">
      <c r="A48" s="1" t="s">
        <v>41</v>
      </c>
      <c r="C48" s="32">
        <f aca="true" t="shared" si="10" ref="C48:L48">C25/C13</f>
        <v>0.05798161978348363</v>
      </c>
      <c r="D48" s="32">
        <f t="shared" si="10"/>
        <v>0.0521137050665916</v>
      </c>
      <c r="E48" s="32">
        <f t="shared" si="10"/>
        <v>0.048042049278058344</v>
      </c>
      <c r="F48" s="33">
        <f t="shared" si="10"/>
        <v>0.04771441227298533</v>
      </c>
      <c r="G48" s="32">
        <f t="shared" si="10"/>
        <v>0.05073727076734716</v>
      </c>
      <c r="H48" s="32">
        <f t="shared" si="10"/>
        <v>0.057790307669974866</v>
      </c>
      <c r="I48" s="32">
        <f t="shared" si="10"/>
        <v>0.0878593311657061</v>
      </c>
      <c r="J48" s="33">
        <f t="shared" si="10"/>
        <v>0.056397984307048024</v>
      </c>
      <c r="K48" s="32">
        <f t="shared" si="10"/>
        <v>0.03555781413431746</v>
      </c>
      <c r="L48" s="32">
        <f t="shared" si="10"/>
        <v>0.09646840704524386</v>
      </c>
      <c r="M48" s="18"/>
    </row>
    <row r="49" spans="1:13" ht="11.25">
      <c r="A49" s="2" t="s">
        <v>42</v>
      </c>
      <c r="B49" s="2"/>
      <c r="C49" s="34">
        <f aca="true" t="shared" si="11" ref="C49:L49">C25/(C13+C16)</f>
        <v>0.05798161978348363</v>
      </c>
      <c r="D49" s="34">
        <f t="shared" si="11"/>
        <v>0.0521137050665916</v>
      </c>
      <c r="E49" s="34">
        <f t="shared" si="11"/>
        <v>0.048042049278058344</v>
      </c>
      <c r="F49" s="35">
        <f t="shared" si="11"/>
        <v>0.04771441227298533</v>
      </c>
      <c r="G49" s="34">
        <f t="shared" si="11"/>
        <v>0.05073727076734716</v>
      </c>
      <c r="H49" s="34">
        <f t="shared" si="11"/>
        <v>0.057790307669974866</v>
      </c>
      <c r="I49" s="34">
        <f t="shared" si="11"/>
        <v>0.0878593311657061</v>
      </c>
      <c r="J49" s="35">
        <f t="shared" si="11"/>
        <v>0.056397984307048024</v>
      </c>
      <c r="K49" s="34">
        <f t="shared" si="11"/>
        <v>0.03555781413431746</v>
      </c>
      <c r="L49" s="34">
        <f t="shared" si="11"/>
        <v>0.09646840704524386</v>
      </c>
      <c r="M49" s="18"/>
    </row>
    <row r="50" spans="1:10" ht="11.25">
      <c r="A50" s="4" t="s">
        <v>43</v>
      </c>
      <c r="G50" s="17"/>
      <c r="H50" s="18"/>
      <c r="I50" s="18"/>
      <c r="J50" s="19"/>
    </row>
    <row r="51" spans="1:12" ht="11.25">
      <c r="A51" s="1" t="s">
        <v>44</v>
      </c>
      <c r="C51" s="36">
        <f aca="true" t="shared" si="12" ref="C51:L51">C12/C17</f>
        <v>1.0505971067435327</v>
      </c>
      <c r="D51" s="36">
        <f t="shared" si="12"/>
        <v>10.20429104477612</v>
      </c>
      <c r="E51" s="36">
        <f t="shared" si="12"/>
        <v>9.997206703910615</v>
      </c>
      <c r="F51" s="37">
        <f t="shared" si="12"/>
        <v>6.241086587436333</v>
      </c>
      <c r="G51" s="38">
        <f t="shared" si="12"/>
        <v>0.3430083972252647</v>
      </c>
      <c r="H51" s="32">
        <f t="shared" si="12"/>
        <v>0.3312474117701192</v>
      </c>
      <c r="I51" s="32">
        <f t="shared" si="12"/>
        <v>0.09210105532459226</v>
      </c>
      <c r="J51" s="33">
        <f t="shared" si="12"/>
        <v>0.28258006246942385</v>
      </c>
      <c r="K51" s="37">
        <f t="shared" si="12"/>
        <v>0.2631929662193429</v>
      </c>
      <c r="L51" s="37">
        <f t="shared" si="12"/>
        <v>0.013642491237530332</v>
      </c>
    </row>
    <row r="52" spans="1:12" ht="11.25">
      <c r="A52" s="1" t="s">
        <v>45</v>
      </c>
      <c r="C52" s="36">
        <f aca="true" t="shared" si="13" ref="C52:L52">C12/C11</f>
        <v>0.5362825555609512</v>
      </c>
      <c r="D52" s="36">
        <f t="shared" si="13"/>
        <v>0.06693999938806107</v>
      </c>
      <c r="E52" s="36">
        <f t="shared" si="13"/>
        <v>0.06119378316301814</v>
      </c>
      <c r="F52" s="37">
        <f t="shared" si="13"/>
        <v>0.0430125141142125</v>
      </c>
      <c r="G52" s="38">
        <f t="shared" si="13"/>
        <v>0.046229548529954485</v>
      </c>
      <c r="H52" s="32">
        <f t="shared" si="13"/>
        <v>0.051031764597466486</v>
      </c>
      <c r="I52" s="32">
        <f t="shared" si="13"/>
        <v>0.022339435308718587</v>
      </c>
      <c r="J52" s="33">
        <f t="shared" si="13"/>
        <v>0.10075475495622421</v>
      </c>
      <c r="K52" s="37">
        <f t="shared" si="13"/>
        <v>0.06426463343532635</v>
      </c>
      <c r="L52" s="37">
        <f t="shared" si="13"/>
        <v>0.010955700861732993</v>
      </c>
    </row>
    <row r="53" spans="1:12" ht="11.25">
      <c r="A53" s="2" t="s">
        <v>46</v>
      </c>
      <c r="B53" s="2"/>
      <c r="C53" s="39">
        <f aca="true" t="shared" si="14" ref="C53:L53">(C12+C16)/C17</f>
        <v>1.0505971067435327</v>
      </c>
      <c r="D53" s="39">
        <f t="shared" si="14"/>
        <v>10.20429104477612</v>
      </c>
      <c r="E53" s="39">
        <f t="shared" si="14"/>
        <v>9.997206703910615</v>
      </c>
      <c r="F53" s="34">
        <f t="shared" si="14"/>
        <v>6.241086587436333</v>
      </c>
      <c r="G53" s="40">
        <f t="shared" si="14"/>
        <v>0.3430083972252647</v>
      </c>
      <c r="H53" s="34">
        <f t="shared" si="14"/>
        <v>0.3312474117701192</v>
      </c>
      <c r="I53" s="34">
        <f t="shared" si="14"/>
        <v>0.09210105532459226</v>
      </c>
      <c r="J53" s="35">
        <f t="shared" si="14"/>
        <v>0.28258006246942385</v>
      </c>
      <c r="K53" s="34">
        <f t="shared" si="14"/>
        <v>0.2631929662193429</v>
      </c>
      <c r="L53" s="34">
        <f t="shared" si="14"/>
        <v>0.013642491237530332</v>
      </c>
    </row>
    <row r="54" spans="1:10" ht="11.25">
      <c r="A54" s="4" t="s">
        <v>47</v>
      </c>
      <c r="G54" s="17"/>
      <c r="H54" s="18"/>
      <c r="I54" s="18"/>
      <c r="J54" s="19"/>
    </row>
    <row r="55" spans="1:12" ht="11.25">
      <c r="A55" s="1" t="s">
        <v>48</v>
      </c>
      <c r="B55" s="18"/>
      <c r="C55" s="41">
        <f>C40/C28</f>
        <v>0.0031552819903822586</v>
      </c>
      <c r="D55" s="41">
        <f>(D40/0.75)/D28</f>
        <v>0.0014186422926782823</v>
      </c>
      <c r="E55" s="37">
        <f>(E40/0.5)/E28</f>
        <v>0.0011410593921413609</v>
      </c>
      <c r="F55" s="37">
        <f>((F40)/0.25)/F28</f>
        <v>0.0006330333305810145</v>
      </c>
      <c r="G55" s="42">
        <f>G40/G28</f>
        <v>0.002374152897713107</v>
      </c>
      <c r="H55" s="41">
        <f>(H40/0.75)/H28</f>
        <v>0.002938208125133099</v>
      </c>
      <c r="I55" s="41">
        <f>(I40/0.5)/I28</f>
        <v>0.00443171637015231</v>
      </c>
      <c r="J55" s="33">
        <f>((J40)/0.25)/J28</f>
        <v>0.004438998450974499</v>
      </c>
      <c r="K55" s="37">
        <f>K40/K28</f>
        <v>0.005623854640422012</v>
      </c>
      <c r="L55" s="37">
        <f>L40/L28</f>
        <v>0.007599090122189343</v>
      </c>
    </row>
    <row r="56" spans="1:12" ht="11.25">
      <c r="A56" s="1" t="s">
        <v>49</v>
      </c>
      <c r="B56" s="18"/>
      <c r="C56" s="41">
        <f>C40/C27</f>
        <v>0.0019385969563603584</v>
      </c>
      <c r="D56" s="41">
        <f>(D40/0.75)/D27</f>
        <v>0.0013049399421097112</v>
      </c>
      <c r="E56" s="37">
        <f>(E40/0.5)/E27</f>
        <v>0.0010538081993805113</v>
      </c>
      <c r="F56" s="37">
        <f>((F40)/0.25)/F27</f>
        <v>0.0005750323455694383</v>
      </c>
      <c r="G56" s="42">
        <f>G40/G27</f>
        <v>0.0021832183973926433</v>
      </c>
      <c r="H56" s="41">
        <f>(H40/0.75)/H27</f>
        <v>0.002827963569175197</v>
      </c>
      <c r="I56" s="41">
        <f>(I40/0.5)/I27</f>
        <v>0.00395861319918827</v>
      </c>
      <c r="J56" s="33">
        <f>((J40)/0.25)/J27</f>
        <v>0.004093889372590131</v>
      </c>
      <c r="K56" s="37">
        <f>K40/K27</f>
        <v>0.005217942010628631</v>
      </c>
      <c r="L56" s="37">
        <f>L40/L27</f>
        <v>0.006352545225073622</v>
      </c>
    </row>
    <row r="57" spans="1:12" ht="11.25">
      <c r="A57" s="1" t="s">
        <v>50</v>
      </c>
      <c r="B57" s="18"/>
      <c r="C57" s="41">
        <f>+C40/C31</f>
        <v>0.058190615649073664</v>
      </c>
      <c r="D57" s="41">
        <f>(D40/0.75)/D31</f>
        <v>0.025903470456570397</v>
      </c>
      <c r="E57" s="37">
        <f>(E40/0.5)/E31</f>
        <v>0.018444107766286806</v>
      </c>
      <c r="F57" s="37">
        <f>((F40)/0.25)/F31</f>
        <v>0.012265848943403773</v>
      </c>
      <c r="G57" s="42">
        <f>+G40/G31</f>
        <v>0.056499460625674215</v>
      </c>
      <c r="H57" s="41">
        <f>(H40/0.75)/H31</f>
        <v>0.06542056074766354</v>
      </c>
      <c r="I57" s="41">
        <f>(I40/0.5)/I31</f>
        <v>0.07781991852788313</v>
      </c>
      <c r="J57" s="33">
        <f>((J40)/0.25)/J31</f>
        <v>0.08327309527251699</v>
      </c>
      <c r="K57" s="37">
        <f>K40/K31</f>
        <v>0.11098909144154037</v>
      </c>
      <c r="L57" s="37">
        <f>L40/L31</f>
        <v>0.037398454527442046</v>
      </c>
    </row>
    <row r="58" spans="1:12" ht="11.25">
      <c r="A58" s="1" t="s">
        <v>51</v>
      </c>
      <c r="B58" s="18"/>
      <c r="C58" s="41">
        <f>C33/C28</f>
        <v>0.08668395052352135</v>
      </c>
      <c r="D58" s="41">
        <f>(D33/0.75)/D28</f>
        <v>0.07900599828620394</v>
      </c>
      <c r="E58" s="37">
        <f>(E33/0.5)/E28</f>
        <v>0.0919693870065937</v>
      </c>
      <c r="F58" s="37">
        <f>((F33)/0.25)/F28</f>
        <v>0.07910164313434068</v>
      </c>
      <c r="G58" s="42">
        <f>G33/G28</f>
        <v>0.052118039029033794</v>
      </c>
      <c r="H58" s="41">
        <f>(H33/0.75)/H28</f>
        <v>0.05307704257418307</v>
      </c>
      <c r="I58" s="41">
        <f>(I33/0.5)/I28</f>
        <v>0.06673172916933316</v>
      </c>
      <c r="J58" s="33">
        <f>((J33)/0.25)/J28</f>
        <v>0.07974784022688214</v>
      </c>
      <c r="K58" s="37">
        <f>K33/K28</f>
        <v>0.06380626636890409</v>
      </c>
      <c r="L58" s="37">
        <f>L33/L27</f>
        <v>0.029558266722759782</v>
      </c>
    </row>
    <row r="59" spans="1:12" ht="11.25">
      <c r="A59" s="1" t="s">
        <v>52</v>
      </c>
      <c r="B59" s="18"/>
      <c r="C59" s="41">
        <f>C34/C28</f>
        <v>0.08075312507551619</v>
      </c>
      <c r="D59" s="41">
        <f>(D34/0.75)/D28</f>
        <v>0.07460725506998</v>
      </c>
      <c r="E59" s="37">
        <f>(E34/0.5)/E28</f>
        <v>0.08729104349881411</v>
      </c>
      <c r="F59" s="37">
        <f>((F34)/0.25)/F28</f>
        <v>0.0752208735859962</v>
      </c>
      <c r="G59" s="42">
        <f>G34/G28</f>
        <v>0.047511389134425784</v>
      </c>
      <c r="H59" s="41">
        <f>(H34/0.75)/H28</f>
        <v>0.04762860061665335</v>
      </c>
      <c r="I59" s="41">
        <f>(I34/0.5)/I28</f>
        <v>0.05890822987328811</v>
      </c>
      <c r="J59" s="33">
        <f>((J34)/0.25)/J28</f>
        <v>0.07133223899690966</v>
      </c>
      <c r="K59" s="37">
        <f>K34/K28</f>
        <v>0.055029195076530424</v>
      </c>
      <c r="L59" s="37">
        <f>L34/L27</f>
        <v>0.019469920067311738</v>
      </c>
    </row>
    <row r="60" spans="1:12" ht="11.25">
      <c r="A60" s="1" t="s">
        <v>53</v>
      </c>
      <c r="B60" s="18"/>
      <c r="C60" s="41">
        <f>C35/C28</f>
        <v>0.005930825448005164</v>
      </c>
      <c r="D60" s="41">
        <f>(D35/0.75)/D28</f>
        <v>0.004398743216223936</v>
      </c>
      <c r="E60" s="37">
        <f>(E35/0.5)/E28</f>
        <v>0.00467834350777958</v>
      </c>
      <c r="F60" s="37">
        <f>((F35)/0.25)/F28</f>
        <v>0.00388076954834448</v>
      </c>
      <c r="G60" s="42">
        <f>G35/G28</f>
        <v>0.00460664989460801</v>
      </c>
      <c r="H60" s="41">
        <f>(H35/0.75)/H28</f>
        <v>0.005448441957529724</v>
      </c>
      <c r="I60" s="41">
        <f>(I35/0.5)/I28</f>
        <v>0.007823499296045052</v>
      </c>
      <c r="J60" s="33">
        <f>((J35)/0.25)/J28</f>
        <v>0.008415601229972487</v>
      </c>
      <c r="K60" s="37">
        <f>K35/K28</f>
        <v>0.008777071292373668</v>
      </c>
      <c r="L60" s="37">
        <f>L35/L27</f>
        <v>0.010088346655448045</v>
      </c>
    </row>
    <row r="61" spans="1:12" ht="11.25">
      <c r="A61" s="1" t="s">
        <v>54</v>
      </c>
      <c r="B61" s="18"/>
      <c r="C61" s="41">
        <f>C38/C37</f>
        <v>0.47410817031070196</v>
      </c>
      <c r="D61" s="41">
        <f>(D38/0.75)/(D37/0.75)</f>
        <v>0.6836518046709129</v>
      </c>
      <c r="E61" s="37">
        <f>(E38/0.5)/(E37/0.5)</f>
        <v>0.7619047619047619</v>
      </c>
      <c r="F61" s="37">
        <f>(F38/0.25)/(F37/0.25)</f>
        <v>0.8424657534246576</v>
      </c>
      <c r="G61" s="42">
        <f>G38/G37</f>
        <v>0.48525798525798525</v>
      </c>
      <c r="H61" s="41">
        <f>(H38/0.75)/(H37/0.75)</f>
        <v>0.46072507552870096</v>
      </c>
      <c r="I61" s="41">
        <f>(I38/0.5)/(I37/0.5)</f>
        <v>0.4335378323108384</v>
      </c>
      <c r="J61" s="33">
        <f>(J38/0.25)/(J37/0.25)</f>
        <v>0.4725274725274725</v>
      </c>
      <c r="K61" s="37">
        <f>K38/K37</f>
        <v>0.36141533277169335</v>
      </c>
      <c r="L61" s="37">
        <f>L38/L37</f>
        <v>0.37706270627062705</v>
      </c>
    </row>
    <row r="62" spans="1:12" ht="11.25">
      <c r="A62" s="2" t="s">
        <v>55</v>
      </c>
      <c r="B62" s="2"/>
      <c r="C62" s="43">
        <f>C36/C28</f>
        <v>6.904336959260959E-05</v>
      </c>
      <c r="D62" s="43">
        <f>(D36/0.75)/D28</f>
        <v>8.568980291345329E-05</v>
      </c>
      <c r="E62" s="34">
        <f>(E36/0.5)/E28</f>
        <v>0.00011410593921413609</v>
      </c>
      <c r="F62" s="34">
        <f>(F36/0.25)/F28</f>
        <v>0.00013761594143065533</v>
      </c>
      <c r="G62" s="44">
        <f>G36/G28</f>
        <v>5.666236032728179E-06</v>
      </c>
      <c r="H62" s="43">
        <f>(H36/0.75)/H28</f>
        <v>0</v>
      </c>
      <c r="I62" s="43">
        <f>(I36/0.5)/I28</f>
        <v>0</v>
      </c>
      <c r="J62" s="35">
        <f>(J36/0.25)/J28</f>
        <v>0</v>
      </c>
      <c r="K62" s="34">
        <f>K36/K28</f>
        <v>2.967733319483911E-05</v>
      </c>
      <c r="L62" s="34">
        <f>L36/L27</f>
        <v>0.00010938157341186369</v>
      </c>
    </row>
    <row r="63" spans="1:10" ht="11.25">
      <c r="A63" s="4" t="s">
        <v>56</v>
      </c>
      <c r="G63" s="17"/>
      <c r="H63" s="18"/>
      <c r="I63" s="18"/>
      <c r="J63" s="19"/>
    </row>
    <row r="64" spans="1:12" ht="11.25">
      <c r="A64" s="1" t="s">
        <v>57</v>
      </c>
      <c r="C64" s="1">
        <v>8</v>
      </c>
      <c r="D64" s="9">
        <v>8</v>
      </c>
      <c r="E64" s="9">
        <v>8</v>
      </c>
      <c r="F64" s="1">
        <v>8</v>
      </c>
      <c r="G64" s="10">
        <f>7+1</f>
        <v>8</v>
      </c>
      <c r="H64" s="11">
        <v>9</v>
      </c>
      <c r="I64" s="11">
        <v>9</v>
      </c>
      <c r="J64" s="12">
        <v>10</v>
      </c>
      <c r="K64" s="9">
        <v>9</v>
      </c>
      <c r="L64" s="9">
        <v>9</v>
      </c>
    </row>
    <row r="65" spans="1:12" ht="11.25">
      <c r="A65" s="1" t="s">
        <v>58</v>
      </c>
      <c r="C65" s="1">
        <v>1</v>
      </c>
      <c r="D65" s="9">
        <v>1</v>
      </c>
      <c r="E65" s="9">
        <v>1</v>
      </c>
      <c r="F65" s="1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5" ref="C66:L66">C13/C64</f>
        <v>17423.625</v>
      </c>
      <c r="D66" s="9">
        <f t="shared" si="15"/>
        <v>18649.125</v>
      </c>
      <c r="E66" s="9">
        <f t="shared" si="15"/>
        <v>20024.125</v>
      </c>
      <c r="F66" s="9">
        <f t="shared" si="15"/>
        <v>20035.875</v>
      </c>
      <c r="G66" s="10">
        <f t="shared" si="15"/>
        <v>18785.5</v>
      </c>
      <c r="H66" s="11">
        <f t="shared" si="15"/>
        <v>14543</v>
      </c>
      <c r="I66" s="11">
        <f t="shared" si="15"/>
        <v>9465.888888888889</v>
      </c>
      <c r="J66" s="12">
        <f t="shared" si="15"/>
        <v>13037.7</v>
      </c>
      <c r="K66" s="9">
        <f t="shared" si="15"/>
        <v>22520.444444444445</v>
      </c>
      <c r="L66" s="9">
        <f t="shared" si="15"/>
        <v>7431.333333333333</v>
      </c>
    </row>
    <row r="67" spans="1:12" ht="11.25">
      <c r="A67" s="1" t="s">
        <v>60</v>
      </c>
      <c r="C67" s="9">
        <f aca="true" t="shared" si="16" ref="C67:L67">+C17/C64</f>
        <v>19709.625</v>
      </c>
      <c r="D67" s="9">
        <f t="shared" si="16"/>
        <v>134</v>
      </c>
      <c r="E67" s="9">
        <f t="shared" si="16"/>
        <v>134.25</v>
      </c>
      <c r="F67" s="9">
        <f t="shared" si="16"/>
        <v>147.25</v>
      </c>
      <c r="G67" s="10">
        <f t="shared" si="16"/>
        <v>2739</v>
      </c>
      <c r="H67" s="11">
        <f t="shared" si="16"/>
        <v>2414.777777777778</v>
      </c>
      <c r="I67" s="11">
        <f t="shared" si="16"/>
        <v>2432.1111111111113</v>
      </c>
      <c r="J67" s="12">
        <f t="shared" si="16"/>
        <v>5314.6</v>
      </c>
      <c r="K67" s="9">
        <f t="shared" si="16"/>
        <v>6002.777777777777</v>
      </c>
      <c r="L67" s="9">
        <f t="shared" si="16"/>
        <v>6181.666666666667</v>
      </c>
    </row>
    <row r="68" spans="1:12" ht="11.25">
      <c r="A68" s="2" t="s">
        <v>61</v>
      </c>
      <c r="B68" s="2"/>
      <c r="C68" s="14">
        <f aca="true" t="shared" si="17" ref="C68:L68">+C40/C64</f>
        <v>57.125</v>
      </c>
      <c r="D68" s="14">
        <f t="shared" si="17"/>
        <v>18.625</v>
      </c>
      <c r="E68" s="14">
        <f t="shared" si="17"/>
        <v>8.75</v>
      </c>
      <c r="F68" s="14">
        <f t="shared" si="17"/>
        <v>2.875</v>
      </c>
      <c r="G68" s="15">
        <f t="shared" si="17"/>
        <v>52.375</v>
      </c>
      <c r="H68" s="14">
        <f t="shared" si="17"/>
        <v>39.666666666666664</v>
      </c>
      <c r="I68" s="14">
        <f t="shared" si="17"/>
        <v>30.77777777777778</v>
      </c>
      <c r="J68" s="16">
        <f t="shared" si="17"/>
        <v>14.4</v>
      </c>
      <c r="K68" s="14">
        <f t="shared" si="17"/>
        <v>84.22222222222223</v>
      </c>
      <c r="L68" s="14">
        <f t="shared" si="17"/>
        <v>83.88888888888889</v>
      </c>
    </row>
    <row r="69" spans="1:10" ht="11.25">
      <c r="A69" s="4" t="s">
        <v>62</v>
      </c>
      <c r="G69" s="17"/>
      <c r="H69" s="18"/>
      <c r="I69" s="18"/>
      <c r="J69" s="19"/>
    </row>
    <row r="70" spans="1:12" ht="11.25">
      <c r="A70" s="1" t="s">
        <v>63</v>
      </c>
      <c r="C70" s="37">
        <f>(C11/G11)-1</f>
        <v>0.8999569442735884</v>
      </c>
      <c r="D70" s="37">
        <f>(D11/H11)-1</f>
        <v>0.15840475228434303</v>
      </c>
      <c r="E70" s="37">
        <f>(E11/I11)-1</f>
        <v>0.9442733034883206</v>
      </c>
      <c r="F70" s="37">
        <f>+(F11/J11)-1</f>
        <v>0.14673778135587545</v>
      </c>
      <c r="G70" s="38">
        <f>+(G11/K11)-1</f>
        <v>-0.26519838920350547</v>
      </c>
      <c r="H70" s="32">
        <f>+(H11/195569)-1</f>
        <v>-0.27867402297910204</v>
      </c>
      <c r="I70" s="32">
        <f>+(I11/189652)-1</f>
        <v>-0.5241600404952229</v>
      </c>
      <c r="J70" s="33">
        <f>+(J11/132340)-1</f>
        <v>0.12630346078283217</v>
      </c>
      <c r="K70" s="37">
        <f>+(K11/L11)-1</f>
        <v>2.193709493497308</v>
      </c>
      <c r="L70" s="37">
        <f>(L11/168421)-1</f>
        <v>-0.5886558089549403</v>
      </c>
    </row>
    <row r="71" spans="1:12" ht="11.25">
      <c r="A71" s="1" t="s">
        <v>64</v>
      </c>
      <c r="C71" s="37">
        <f>(C13/G13)-1</f>
        <v>-0.0724960740997046</v>
      </c>
      <c r="D71" s="37">
        <f>(D13/H13)-1</f>
        <v>0.13986110156088838</v>
      </c>
      <c r="E71" s="37">
        <f>(E13/I13)-1</f>
        <v>0.8803540196964539</v>
      </c>
      <c r="F71" s="37">
        <f aca="true" t="shared" si="18" ref="F71:L71">SUM(F72:F73)</f>
        <v>0.22941162935180293</v>
      </c>
      <c r="G71" s="38">
        <f t="shared" si="18"/>
        <v>-0.2585305204160171</v>
      </c>
      <c r="H71" s="32">
        <f t="shared" si="18"/>
        <v>-0.3073919048349799</v>
      </c>
      <c r="I71" s="32">
        <f t="shared" si="18"/>
        <v>-0.4730764473033152</v>
      </c>
      <c r="J71" s="33">
        <f t="shared" si="18"/>
        <v>0.009570934095291195</v>
      </c>
      <c r="K71" s="37">
        <f t="shared" si="18"/>
        <v>2.0304715768069137</v>
      </c>
      <c r="L71" s="37">
        <f t="shared" si="18"/>
        <v>-0.491685413753268</v>
      </c>
    </row>
    <row r="72" spans="2:12" ht="11.25">
      <c r="B72" s="1" t="s">
        <v>15</v>
      </c>
      <c r="C72" s="37">
        <v>0</v>
      </c>
      <c r="D72" s="37">
        <v>0</v>
      </c>
      <c r="E72" s="37" t="s">
        <v>65</v>
      </c>
      <c r="F72" s="37">
        <v>0</v>
      </c>
      <c r="G72" s="38">
        <v>0</v>
      </c>
      <c r="H72" s="32">
        <v>0</v>
      </c>
      <c r="I72" s="32">
        <v>0</v>
      </c>
      <c r="J72" s="33">
        <v>0</v>
      </c>
      <c r="K72" s="37">
        <v>0</v>
      </c>
      <c r="L72" s="37">
        <v>0</v>
      </c>
    </row>
    <row r="73" spans="2:12" ht="11.25">
      <c r="B73" s="1" t="s">
        <v>16</v>
      </c>
      <c r="C73" s="37">
        <f>(C15/G15)-1</f>
        <v>-0.0724960740997046</v>
      </c>
      <c r="D73" s="37">
        <f>(D15/H15)-1</f>
        <v>0.13986110156088838</v>
      </c>
      <c r="E73" s="37">
        <f>(E15/I15)-1</f>
        <v>0.8803540196964539</v>
      </c>
      <c r="F73" s="37">
        <f>+(F15/J15)-1</f>
        <v>0.22941162935180293</v>
      </c>
      <c r="G73" s="38">
        <f>+(G15/K15)-1</f>
        <v>-0.2585305204160171</v>
      </c>
      <c r="H73" s="32">
        <f>+(H15/188977)-1</f>
        <v>-0.3073919048349799</v>
      </c>
      <c r="I73" s="32">
        <f>+(I15/161680)-1</f>
        <v>-0.4730764473033152</v>
      </c>
      <c r="J73" s="33">
        <f>+(J15/129141)-1</f>
        <v>0.009570934095291195</v>
      </c>
      <c r="K73" s="37">
        <f>+(K15/L15)-1</f>
        <v>2.0304715768069137</v>
      </c>
      <c r="L73" s="37">
        <f>+(L15/131576)-1</f>
        <v>-0.491685413753268</v>
      </c>
    </row>
    <row r="74" spans="1:12" ht="11.25">
      <c r="A74" s="1" t="s">
        <v>66</v>
      </c>
      <c r="C74" s="37">
        <f>(C17/G17)-1</f>
        <v>6.19592004381161</v>
      </c>
      <c r="D74" s="37">
        <f>(D17/H17)-1</f>
        <v>-0.9506740900934063</v>
      </c>
      <c r="E74" s="37">
        <f>(E17/I17)-1</f>
        <v>-0.9509342592169583</v>
      </c>
      <c r="F74" s="37">
        <f aca="true" t="shared" si="19" ref="F74:L74">SUM(F75:F76)</f>
        <v>-0.9778346441877094</v>
      </c>
      <c r="G74" s="38">
        <f t="shared" si="19"/>
        <v>-0.5944099953725127</v>
      </c>
      <c r="H74" s="32">
        <f t="shared" si="19"/>
        <v>-0.6310562591247071</v>
      </c>
      <c r="I74" s="32">
        <f t="shared" si="19"/>
        <v>-0.6590657757425665</v>
      </c>
      <c r="J74" s="33">
        <f t="shared" si="19"/>
        <v>-0.0648084604691267</v>
      </c>
      <c r="K74" s="37">
        <f t="shared" si="19"/>
        <v>-0.028938617776579467</v>
      </c>
      <c r="L74" s="37">
        <f t="shared" si="19"/>
        <v>-0.5785993455735321</v>
      </c>
    </row>
    <row r="75" spans="2:12" ht="11.25">
      <c r="B75" s="1" t="s">
        <v>15</v>
      </c>
      <c r="C75" s="37">
        <v>0</v>
      </c>
      <c r="D75" s="37">
        <v>0</v>
      </c>
      <c r="E75" s="37">
        <v>0</v>
      </c>
      <c r="F75" s="37">
        <v>0</v>
      </c>
      <c r="G75" s="38">
        <v>0</v>
      </c>
      <c r="H75" s="32">
        <v>0</v>
      </c>
      <c r="I75" s="32">
        <v>0</v>
      </c>
      <c r="J75" s="33">
        <v>0</v>
      </c>
      <c r="K75" s="37">
        <v>0</v>
      </c>
      <c r="L75" s="37">
        <v>0</v>
      </c>
    </row>
    <row r="76" spans="2:12" ht="11.25">
      <c r="B76" s="1" t="s">
        <v>16</v>
      </c>
      <c r="C76" s="37">
        <f>(C22/G22)-1</f>
        <v>6.19592004381161</v>
      </c>
      <c r="D76" s="37">
        <f>(D22/H22)-1</f>
        <v>-0.9506740900934063</v>
      </c>
      <c r="E76" s="37">
        <f>(E22/I22)-1</f>
        <v>-0.9509342592169583</v>
      </c>
      <c r="F76" s="37">
        <f>+(F22/J22)-1</f>
        <v>-0.9778346441877094</v>
      </c>
      <c r="G76" s="38">
        <f>+(G22/K22)-1</f>
        <v>-0.5944099953725127</v>
      </c>
      <c r="H76" s="32">
        <f>+(H22/58906)-1</f>
        <v>-0.6310562591247071</v>
      </c>
      <c r="I76" s="32">
        <f>+(I22/64203)-1</f>
        <v>-0.6590657757425665</v>
      </c>
      <c r="J76" s="33">
        <f>+(J22/56829)-1</f>
        <v>-0.0648084604691267</v>
      </c>
      <c r="K76" s="37">
        <f>+(K22/L22)-1</f>
        <v>-0.028938617776579467</v>
      </c>
      <c r="L76" s="37">
        <f>+(L22/132024)-1</f>
        <v>-0.5785993455735321</v>
      </c>
    </row>
    <row r="77" spans="1:12" ht="11.25">
      <c r="A77" s="1" t="s">
        <v>67</v>
      </c>
      <c r="C77" s="37">
        <f>(C25/G25)-1</f>
        <v>0.059934426229508286</v>
      </c>
      <c r="D77" s="37">
        <f>(D25/H25)-1</f>
        <v>0.027895293495505014</v>
      </c>
      <c r="E77" s="37">
        <f>(E25/I25)-1</f>
        <v>0.02818971275885107</v>
      </c>
      <c r="F77" s="32">
        <f>+(F25/J25)-1</f>
        <v>0.040119679042567746</v>
      </c>
      <c r="G77" s="38">
        <f>+(G25/K25)-1</f>
        <v>0.05799916747606493</v>
      </c>
      <c r="H77" s="32">
        <f>+(H25/6988)-1</f>
        <v>0.08242701774470529</v>
      </c>
      <c r="I77" s="32">
        <f>+(I25/6753)-1</f>
        <v>0.1083962683251889</v>
      </c>
      <c r="J77" s="33">
        <f>+(J25/6481)-1</f>
        <v>0.1345471377873786</v>
      </c>
      <c r="K77" s="37">
        <f>+(K25/L25)-1</f>
        <v>0.11701797892126464</v>
      </c>
      <c r="L77" s="32">
        <f>(L25/33924)-1</f>
        <v>-0.809810163895767</v>
      </c>
    </row>
    <row r="78" spans="1:12" ht="11.25">
      <c r="A78" s="2" t="s">
        <v>68</v>
      </c>
      <c r="B78" s="2"/>
      <c r="C78" s="34">
        <f>(C40/G40)-1</f>
        <v>0.09069212410501204</v>
      </c>
      <c r="D78" s="34">
        <f>(D40/H40)-1</f>
        <v>-0.5826330532212884</v>
      </c>
      <c r="E78" s="34">
        <f>(E40/I40)-1</f>
        <v>-0.7472924187725631</v>
      </c>
      <c r="F78" s="34">
        <f>+(F40/J40)-1</f>
        <v>-0.8402777777777778</v>
      </c>
      <c r="G78" s="40">
        <f>+(G40/K40)-1</f>
        <v>-0.44722955145118737</v>
      </c>
      <c r="H78" s="34">
        <f>+(H40/538)-1</f>
        <v>-0.3364312267657993</v>
      </c>
      <c r="I78" s="34">
        <f>+(I40/300)-1</f>
        <v>-0.07666666666666666</v>
      </c>
      <c r="J78" s="35">
        <f>+(J40/30)-1</f>
        <v>3.8</v>
      </c>
      <c r="K78" s="34">
        <f>+(K40/L40)-1</f>
        <v>0.003973509933774766</v>
      </c>
      <c r="L78" s="34">
        <f>+(L40/1672)-1</f>
        <v>-0.5484449760765551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7812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2002-03-19T16:36:11Z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