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nb (Lic Int)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<sst xmlns="http://schemas.openxmlformats.org/spreadsheetml/2006/main" count="84" uniqueCount="68">
  <si>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19-8</t>
  </si>
  <si>
    <t>GNB BANK (PANAMA), S.A.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</si>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</sst>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0" xfId="15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10" fontId="2" fillId="0" borderId="0" xfId="19" applyNumberFormat="1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11.421875" defaultRowHeight="12.75"/>
  <cols>
    <col min="1" max="1" width="3.421875" style="1" customWidth="1"/>
    <col min="2" max="2" width="39.28125" style="1" customWidth="1"/>
    <col min="3" max="3" width="8.7109375" style="1" customWidth="1"/>
    <col min="4" max="4" width="9.7109375" style="1" customWidth="1"/>
    <col min="5" max="6" width="7.7109375" style="1" bestFit="1" customWidth="1"/>
    <col min="7" max="7" width="9.57421875" style="1" customWidth="1"/>
    <col min="8" max="8" width="10.00390625" style="1" customWidth="1"/>
    <col min="9" max="10" width="7.7109375" style="1" bestFit="1" customWidth="1"/>
    <col min="11" max="11" width="7.140625" style="1" bestFit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39"/>
      <c r="C2" s="39"/>
      <c r="D2" s="39"/>
      <c r="E2" s="39"/>
      <c r="F2" s="39" t="s">
        <v>0</v>
      </c>
      <c r="H2" s="39"/>
      <c r="I2" s="39"/>
      <c r="J2" s="39"/>
      <c r="K2" s="39"/>
      <c r="L2" s="39"/>
    </row>
    <row r="3" spans="2:12" ht="11.25">
      <c r="B3" s="39"/>
      <c r="C3" s="39"/>
      <c r="D3" s="39"/>
      <c r="E3" s="39"/>
      <c r="F3" s="39" t="s">
        <v>1</v>
      </c>
      <c r="H3" s="39"/>
      <c r="I3" s="39"/>
      <c r="J3" s="39"/>
      <c r="K3" s="39"/>
      <c r="L3" s="39"/>
    </row>
    <row r="4" spans="2:12" ht="11.25">
      <c r="B4" s="39"/>
      <c r="C4" s="39"/>
      <c r="D4" s="39"/>
      <c r="E4" s="39"/>
      <c r="F4" s="39" t="s">
        <v>2</v>
      </c>
      <c r="H4" s="39"/>
      <c r="I4" s="39"/>
      <c r="J4" s="39"/>
      <c r="K4" s="39"/>
      <c r="L4" s="39"/>
    </row>
    <row r="5" spans="2:12" ht="11.25">
      <c r="B5" s="38"/>
      <c r="C5" s="38"/>
      <c r="D5" s="38"/>
      <c r="E5" s="38"/>
      <c r="F5" s="38" t="s">
        <v>3</v>
      </c>
      <c r="H5" s="38"/>
      <c r="I5" s="38"/>
      <c r="J5" s="38"/>
      <c r="K5" s="38"/>
      <c r="L5" s="38"/>
    </row>
    <row r="6" spans="1:12" ht="11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6">
        <v>2001</v>
      </c>
      <c r="D8" s="46"/>
      <c r="E8" s="46"/>
      <c r="F8" s="47"/>
      <c r="G8" s="45">
        <v>2000</v>
      </c>
      <c r="H8" s="46"/>
      <c r="I8" s="46"/>
      <c r="J8" s="47"/>
      <c r="K8" s="46" t="s">
        <v>4</v>
      </c>
      <c r="L8" s="46"/>
    </row>
    <row r="9" spans="1:12" s="4" customFormat="1" ht="11.25">
      <c r="A9" s="40"/>
      <c r="B9" s="40"/>
      <c r="C9" s="41" t="s">
        <v>5</v>
      </c>
      <c r="D9" s="41" t="s">
        <v>6</v>
      </c>
      <c r="E9" s="40" t="s">
        <v>7</v>
      </c>
      <c r="F9" s="40" t="s">
        <v>8</v>
      </c>
      <c r="G9" s="42" t="s">
        <v>5</v>
      </c>
      <c r="H9" s="41" t="s">
        <v>6</v>
      </c>
      <c r="I9" s="41" t="s">
        <v>7</v>
      </c>
      <c r="J9" s="43" t="s">
        <v>8</v>
      </c>
      <c r="K9" s="44" t="s">
        <v>9</v>
      </c>
      <c r="L9" s="44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87505</v>
      </c>
      <c r="D11" s="9">
        <v>91021</v>
      </c>
      <c r="E11" s="9">
        <v>76494</v>
      </c>
      <c r="F11" s="9">
        <v>64768</v>
      </c>
      <c r="G11" s="10">
        <v>60233</v>
      </c>
      <c r="H11" s="11">
        <v>72643</v>
      </c>
      <c r="I11" s="11">
        <v>73686</v>
      </c>
      <c r="J11" s="12">
        <v>87108</v>
      </c>
      <c r="K11" s="9">
        <v>72134</v>
      </c>
      <c r="L11" s="9">
        <v>93876</v>
      </c>
    </row>
    <row r="12" spans="1:12" ht="11.25">
      <c r="A12" s="1" t="s">
        <v>13</v>
      </c>
      <c r="C12" s="9">
        <v>10205</v>
      </c>
      <c r="D12" s="9">
        <v>7537</v>
      </c>
      <c r="E12" s="9">
        <v>8482</v>
      </c>
      <c r="F12" s="9">
        <v>7885</v>
      </c>
      <c r="G12" s="10">
        <v>10898</v>
      </c>
      <c r="H12" s="11">
        <v>16454</v>
      </c>
      <c r="I12" s="11">
        <v>24697</v>
      </c>
      <c r="J12" s="12">
        <v>53357</v>
      </c>
      <c r="K12" s="9">
        <v>23312</v>
      </c>
      <c r="L12" s="9">
        <v>24285</v>
      </c>
    </row>
    <row r="13" spans="1:12" ht="11.25">
      <c r="A13" s="1" t="s">
        <v>14</v>
      </c>
      <c r="C13" s="9">
        <f aca="true" t="shared" si="0" ref="C13:L13">C14+C15</f>
        <v>26760</v>
      </c>
      <c r="D13" s="9">
        <f t="shared" si="0"/>
        <v>16859</v>
      </c>
      <c r="E13" s="9">
        <f t="shared" si="0"/>
        <v>6316</v>
      </c>
      <c r="F13" s="9">
        <f t="shared" si="0"/>
        <v>8808</v>
      </c>
      <c r="G13" s="10">
        <f t="shared" si="0"/>
        <v>11907</v>
      </c>
      <c r="H13" s="11">
        <f t="shared" si="0"/>
        <v>13857</v>
      </c>
      <c r="I13" s="11">
        <f t="shared" si="0"/>
        <v>12462</v>
      </c>
      <c r="J13" s="12">
        <f t="shared" si="0"/>
        <v>2768</v>
      </c>
      <c r="K13" s="9">
        <f t="shared" si="0"/>
        <v>18071</v>
      </c>
      <c r="L13" s="9">
        <f t="shared" si="0"/>
        <v>14285</v>
      </c>
    </row>
    <row r="14" spans="2:12" ht="11.25">
      <c r="B14" s="1" t="s">
        <v>15</v>
      </c>
      <c r="C14" s="13">
        <v>0</v>
      </c>
      <c r="D14" s="13">
        <v>0</v>
      </c>
      <c r="E14" s="9">
        <v>0</v>
      </c>
      <c r="F14" s="9">
        <v>0</v>
      </c>
      <c r="G14" s="10">
        <v>0</v>
      </c>
      <c r="H14" s="11">
        <v>665</v>
      </c>
      <c r="I14" s="11">
        <v>752</v>
      </c>
      <c r="J14" s="12">
        <v>746</v>
      </c>
      <c r="K14" s="9">
        <v>759</v>
      </c>
      <c r="L14" s="9">
        <v>1063</v>
      </c>
    </row>
    <row r="15" spans="2:12" ht="11.25">
      <c r="B15" s="1" t="s">
        <v>16</v>
      </c>
      <c r="C15" s="1">
        <v>26760</v>
      </c>
      <c r="D15" s="9">
        <v>16859</v>
      </c>
      <c r="E15" s="9">
        <v>6316</v>
      </c>
      <c r="F15" s="9">
        <v>8808</v>
      </c>
      <c r="G15" s="10">
        <v>11907</v>
      </c>
      <c r="H15" s="11">
        <v>13192</v>
      </c>
      <c r="I15" s="11">
        <v>11710</v>
      </c>
      <c r="J15" s="12">
        <v>2022</v>
      </c>
      <c r="K15" s="9">
        <v>17312</v>
      </c>
      <c r="L15" s="9">
        <v>13222</v>
      </c>
    </row>
    <row r="16" spans="1:12" ht="11.25">
      <c r="A16" s="1" t="s">
        <v>17</v>
      </c>
      <c r="C16" s="9">
        <v>50084</v>
      </c>
      <c r="D16" s="9">
        <v>65729</v>
      </c>
      <c r="E16" s="9">
        <v>61038</v>
      </c>
      <c r="F16" s="9">
        <v>46706</v>
      </c>
      <c r="G16" s="10">
        <v>36535</v>
      </c>
      <c r="H16" s="11">
        <v>39676</v>
      </c>
      <c r="I16" s="11">
        <v>34471</v>
      </c>
      <c r="J16" s="12">
        <v>28565</v>
      </c>
      <c r="K16" s="9">
        <v>28567</v>
      </c>
      <c r="L16" s="9">
        <v>41302</v>
      </c>
    </row>
    <row r="17" spans="1:12" ht="11.25">
      <c r="A17" s="1" t="s">
        <v>18</v>
      </c>
      <c r="C17" s="9">
        <f aca="true" t="shared" si="1" ref="C17:L17">C18+C22</f>
        <v>68184</v>
      </c>
      <c r="D17" s="9">
        <f t="shared" si="1"/>
        <v>64563</v>
      </c>
      <c r="E17" s="9">
        <f t="shared" si="1"/>
        <v>52612</v>
      </c>
      <c r="F17" s="9">
        <f t="shared" si="1"/>
        <v>53677</v>
      </c>
      <c r="G17" s="10">
        <f t="shared" si="1"/>
        <v>47746</v>
      </c>
      <c r="H17" s="11">
        <f t="shared" si="1"/>
        <v>46895</v>
      </c>
      <c r="I17" s="11">
        <f t="shared" si="1"/>
        <v>51968</v>
      </c>
      <c r="J17" s="12">
        <f t="shared" si="1"/>
        <v>65855</v>
      </c>
      <c r="K17" s="9">
        <f t="shared" si="1"/>
        <v>50942</v>
      </c>
      <c r="L17" s="9">
        <f t="shared" si="1"/>
        <v>65822</v>
      </c>
    </row>
    <row r="18" spans="2:12" ht="11.25">
      <c r="B18" s="1" t="s">
        <v>15</v>
      </c>
      <c r="C18" s="9">
        <f aca="true" t="shared" si="2" ref="C18:L18">SUM(C19:C21)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10">
        <f t="shared" si="2"/>
        <v>0</v>
      </c>
      <c r="H18" s="11">
        <f t="shared" si="2"/>
        <v>45</v>
      </c>
      <c r="I18" s="11">
        <f t="shared" si="2"/>
        <v>420</v>
      </c>
      <c r="J18" s="12">
        <f t="shared" si="2"/>
        <v>478</v>
      </c>
      <c r="K18" s="9">
        <f t="shared" si="2"/>
        <v>557</v>
      </c>
      <c r="L18" s="9">
        <f t="shared" si="2"/>
        <v>1816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11">
        <v>45</v>
      </c>
      <c r="I20" s="11">
        <v>420</v>
      </c>
      <c r="J20" s="12">
        <v>478</v>
      </c>
      <c r="K20" s="9">
        <v>557</v>
      </c>
      <c r="L20" s="9">
        <v>1816</v>
      </c>
    </row>
    <row r="21" spans="2:12" ht="11.25">
      <c r="B21" s="1" t="s">
        <v>21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11">
        <v>0</v>
      </c>
      <c r="J21" s="12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L22">SUM(C23:C24)</f>
        <v>68184</v>
      </c>
      <c r="D22" s="9">
        <f t="shared" si="3"/>
        <v>64563</v>
      </c>
      <c r="E22" s="9">
        <f t="shared" si="3"/>
        <v>52612</v>
      </c>
      <c r="F22" s="9">
        <f t="shared" si="3"/>
        <v>53677</v>
      </c>
      <c r="G22" s="10">
        <f t="shared" si="3"/>
        <v>47746</v>
      </c>
      <c r="H22" s="11">
        <f t="shared" si="3"/>
        <v>46850</v>
      </c>
      <c r="I22" s="11">
        <f t="shared" si="3"/>
        <v>51548</v>
      </c>
      <c r="J22" s="12">
        <f t="shared" si="3"/>
        <v>65377</v>
      </c>
      <c r="K22" s="9">
        <f t="shared" si="3"/>
        <v>50385</v>
      </c>
      <c r="L22" s="9">
        <f t="shared" si="3"/>
        <v>64006</v>
      </c>
    </row>
    <row r="23" spans="2:12" ht="11.25">
      <c r="B23" s="1" t="s">
        <v>20</v>
      </c>
      <c r="C23" s="9">
        <f>14652+15446</f>
        <v>30098</v>
      </c>
      <c r="D23" s="9">
        <f>6041+18132</f>
        <v>24173</v>
      </c>
      <c r="E23" s="9">
        <v>26253</v>
      </c>
      <c r="F23" s="9">
        <v>29293</v>
      </c>
      <c r="G23" s="10">
        <f>18622+8776</f>
        <v>27398</v>
      </c>
      <c r="H23" s="11">
        <v>25584</v>
      </c>
      <c r="I23" s="11">
        <v>28775</v>
      </c>
      <c r="J23" s="12">
        <v>31508</v>
      </c>
      <c r="K23" s="9">
        <v>44765</v>
      </c>
      <c r="L23" s="9">
        <v>63987</v>
      </c>
    </row>
    <row r="24" spans="2:12" ht="11.25">
      <c r="B24" s="1" t="s">
        <v>21</v>
      </c>
      <c r="C24" s="9">
        <v>38086</v>
      </c>
      <c r="D24" s="9">
        <v>40390</v>
      </c>
      <c r="E24" s="9">
        <v>26359</v>
      </c>
      <c r="F24" s="9">
        <v>24384</v>
      </c>
      <c r="G24" s="10">
        <v>20348</v>
      </c>
      <c r="H24" s="11">
        <v>21266</v>
      </c>
      <c r="I24" s="11">
        <v>22773</v>
      </c>
      <c r="J24" s="12">
        <v>33869</v>
      </c>
      <c r="K24" s="9">
        <v>5620</v>
      </c>
      <c r="L24" s="9">
        <v>19</v>
      </c>
    </row>
    <row r="25" spans="1:12" ht="11.25">
      <c r="A25" s="2" t="s">
        <v>22</v>
      </c>
      <c r="B25" s="2"/>
      <c r="C25" s="14">
        <v>17852</v>
      </c>
      <c r="D25" s="14">
        <v>24928</v>
      </c>
      <c r="E25" s="14">
        <v>21151</v>
      </c>
      <c r="F25" s="14">
        <v>3812</v>
      </c>
      <c r="G25" s="15">
        <v>3806</v>
      </c>
      <c r="H25" s="14">
        <v>10087</v>
      </c>
      <c r="I25" s="14">
        <v>10274</v>
      </c>
      <c r="J25" s="16">
        <v>10252</v>
      </c>
      <c r="K25" s="14">
        <v>10045</v>
      </c>
      <c r="L25" s="14">
        <v>11498</v>
      </c>
    </row>
    <row r="26" spans="1:12" ht="11.25">
      <c r="A26" s="4" t="s">
        <v>23</v>
      </c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73869</v>
      </c>
      <c r="D27" s="9">
        <f>(D11+H11)/2</f>
        <v>81832</v>
      </c>
      <c r="E27" s="9">
        <f>(E11+I11)/2</f>
        <v>75090</v>
      </c>
      <c r="F27" s="9">
        <f>+(F11+J11)/2</f>
        <v>75938</v>
      </c>
      <c r="G27" s="10">
        <f>(60233+72134)/2</f>
        <v>66183.5</v>
      </c>
      <c r="H27" s="11">
        <f>(72643+74499)/2</f>
        <v>73571</v>
      </c>
      <c r="I27" s="11">
        <f>(73686+81406)/2</f>
        <v>77546</v>
      </c>
      <c r="J27" s="12">
        <f>(87109+75710)/2</f>
        <v>81409.5</v>
      </c>
      <c r="K27" s="9">
        <f>(K11+L11)/2</f>
        <v>83005</v>
      </c>
      <c r="L27" s="9">
        <f>(L11+110258)/2</f>
        <v>102067</v>
      </c>
    </row>
    <row r="28" spans="1:12" ht="11.25">
      <c r="A28" s="1" t="s">
        <v>24</v>
      </c>
      <c r="C28" s="9">
        <f aca="true" t="shared" si="4" ref="C28:L28">C29+C30</f>
        <v>62643</v>
      </c>
      <c r="D28" s="9">
        <f t="shared" si="4"/>
        <v>68060.5</v>
      </c>
      <c r="E28" s="9">
        <f t="shared" si="4"/>
        <v>57143.5</v>
      </c>
      <c r="F28" s="9">
        <f t="shared" si="4"/>
        <v>43423.5</v>
      </c>
      <c r="G28" s="10">
        <f t="shared" si="4"/>
        <v>47540</v>
      </c>
      <c r="H28" s="11">
        <f t="shared" si="4"/>
        <v>50814.5</v>
      </c>
      <c r="I28" s="11">
        <f t="shared" si="4"/>
        <v>51647.5</v>
      </c>
      <c r="J28" s="12">
        <f t="shared" si="4"/>
        <v>48230.5</v>
      </c>
      <c r="K28" s="9">
        <f t="shared" si="4"/>
        <v>51112.5</v>
      </c>
      <c r="L28" s="9">
        <f t="shared" si="4"/>
        <v>66489.5</v>
      </c>
    </row>
    <row r="29" spans="2:12" ht="11.25">
      <c r="B29" s="1" t="s">
        <v>14</v>
      </c>
      <c r="C29" s="9">
        <f>(C13+G13)/2</f>
        <v>19333.5</v>
      </c>
      <c r="D29" s="9">
        <f>(D13+H13)/2</f>
        <v>15358</v>
      </c>
      <c r="E29" s="9">
        <f>(E13+I13)/2</f>
        <v>9389</v>
      </c>
      <c r="F29" s="9">
        <f>+(F13+J13)/2</f>
        <v>5788</v>
      </c>
      <c r="G29" s="10">
        <f>(G13+K13)/2</f>
        <v>14989</v>
      </c>
      <c r="H29" s="11">
        <f>(13857+20525)/2</f>
        <v>17191</v>
      </c>
      <c r="I29" s="11">
        <f>(12462+20611)/2</f>
        <v>16536.5</v>
      </c>
      <c r="J29" s="12">
        <f>(2769+24832)/2</f>
        <v>13800.5</v>
      </c>
      <c r="K29" s="9">
        <f>(K13+L13)/2</f>
        <v>16178</v>
      </c>
      <c r="L29" s="9">
        <f>(L13+35184)/2</f>
        <v>24734.5</v>
      </c>
    </row>
    <row r="30" spans="2:12" ht="11.25">
      <c r="B30" s="1" t="s">
        <v>17</v>
      </c>
      <c r="C30" s="9">
        <f>(C16+G16)/2</f>
        <v>43309.5</v>
      </c>
      <c r="D30" s="9">
        <f>(D16+H16)/2</f>
        <v>52702.5</v>
      </c>
      <c r="E30" s="9">
        <f>(E16+I16)/2</f>
        <v>47754.5</v>
      </c>
      <c r="F30" s="9">
        <f>+(F16+J16)/2</f>
        <v>37635.5</v>
      </c>
      <c r="G30" s="10">
        <f>(G16+K16)/2</f>
        <v>32551</v>
      </c>
      <c r="H30" s="11">
        <f>(39676+27571)/2</f>
        <v>33623.5</v>
      </c>
      <c r="I30" s="11">
        <f>(34471+35751)/2</f>
        <v>35111</v>
      </c>
      <c r="J30" s="12">
        <f>(28565+40295)/2</f>
        <v>34430</v>
      </c>
      <c r="K30" s="9">
        <f>(K16+L16)/2</f>
        <v>34934.5</v>
      </c>
      <c r="L30" s="9">
        <f>(L16+42208)/2</f>
        <v>41755</v>
      </c>
    </row>
    <row r="31" spans="1:12" ht="11.25">
      <c r="A31" s="2" t="s">
        <v>22</v>
      </c>
      <c r="B31" s="2"/>
      <c r="C31" s="14">
        <f>(C25+G25)/2</f>
        <v>10829</v>
      </c>
      <c r="D31" s="14">
        <f>(D25+H25)/2</f>
        <v>17507.5</v>
      </c>
      <c r="E31" s="14">
        <f>(E25+I25)/2</f>
        <v>15712.5</v>
      </c>
      <c r="F31" s="14">
        <f>+(F25+J25)/2</f>
        <v>7032</v>
      </c>
      <c r="G31" s="15">
        <f>(G25+K25)/2</f>
        <v>6925.5</v>
      </c>
      <c r="H31" s="14">
        <f>(10087+10214)/2</f>
        <v>10150.5</v>
      </c>
      <c r="I31" s="14">
        <f>(10275+10061)/2</f>
        <v>10168</v>
      </c>
      <c r="J31" s="16">
        <f>(10253+10785)/2</f>
        <v>10519</v>
      </c>
      <c r="K31" s="14">
        <f>(K25+L25)/2</f>
        <v>10771.5</v>
      </c>
      <c r="L31" s="14">
        <f>(L25+13133)/2</f>
        <v>12315.5</v>
      </c>
    </row>
    <row r="32" spans="1:10" ht="11.25">
      <c r="A32" s="4" t="s">
        <v>25</v>
      </c>
      <c r="F32" s="9"/>
      <c r="G32" s="17"/>
      <c r="H32" s="18"/>
      <c r="I32" s="18"/>
      <c r="J32" s="19"/>
    </row>
    <row r="33" spans="1:12" ht="11.25">
      <c r="A33" s="1" t="s">
        <v>26</v>
      </c>
      <c r="C33" s="9">
        <v>4149</v>
      </c>
      <c r="D33" s="9">
        <v>2889</v>
      </c>
      <c r="E33" s="9">
        <v>1821</v>
      </c>
      <c r="F33" s="9">
        <v>975</v>
      </c>
      <c r="G33" s="10">
        <v>3160</v>
      </c>
      <c r="H33" s="11">
        <f>890+I33</f>
        <v>2357</v>
      </c>
      <c r="I33" s="11">
        <f>774+J33</f>
        <v>1467</v>
      </c>
      <c r="J33" s="12">
        <v>693</v>
      </c>
      <c r="K33" s="9">
        <v>4783</v>
      </c>
      <c r="L33" s="9">
        <v>6601</v>
      </c>
    </row>
    <row r="34" spans="1:12" ht="11.25">
      <c r="A34" s="1" t="s">
        <v>27</v>
      </c>
      <c r="C34" s="9">
        <v>3584</v>
      </c>
      <c r="D34" s="9">
        <v>2646</v>
      </c>
      <c r="E34" s="9">
        <v>1615</v>
      </c>
      <c r="F34" s="9">
        <v>852</v>
      </c>
      <c r="G34" s="10">
        <v>2893</v>
      </c>
      <c r="H34" s="11">
        <f>810+I34</f>
        <v>2097</v>
      </c>
      <c r="I34" s="11">
        <f>761+J34</f>
        <v>1287</v>
      </c>
      <c r="J34" s="12">
        <v>526</v>
      </c>
      <c r="K34" s="9">
        <v>3292</v>
      </c>
      <c r="L34" s="9">
        <v>5403</v>
      </c>
    </row>
    <row r="35" spans="1:12" ht="11.25">
      <c r="A35" s="1" t="s">
        <v>28</v>
      </c>
      <c r="C35" s="9">
        <f>+C33-C34</f>
        <v>565</v>
      </c>
      <c r="D35" s="9">
        <f aca="true" t="shared" si="5" ref="D35:L35">D33-D34</f>
        <v>243</v>
      </c>
      <c r="E35" s="9">
        <f t="shared" si="5"/>
        <v>206</v>
      </c>
      <c r="F35" s="9">
        <f t="shared" si="5"/>
        <v>123</v>
      </c>
      <c r="G35" s="10">
        <f t="shared" si="5"/>
        <v>267</v>
      </c>
      <c r="H35" s="11">
        <f t="shared" si="5"/>
        <v>260</v>
      </c>
      <c r="I35" s="11">
        <f t="shared" si="5"/>
        <v>180</v>
      </c>
      <c r="J35" s="12">
        <f t="shared" si="5"/>
        <v>167</v>
      </c>
      <c r="K35" s="9">
        <f t="shared" si="5"/>
        <v>1491</v>
      </c>
      <c r="L35" s="9">
        <f t="shared" si="5"/>
        <v>1198</v>
      </c>
    </row>
    <row r="36" spans="1:12" ht="11.25">
      <c r="A36" s="1" t="s">
        <v>29</v>
      </c>
      <c r="C36" s="9">
        <v>2582</v>
      </c>
      <c r="D36" s="9">
        <v>2105</v>
      </c>
      <c r="E36" s="9">
        <v>1481</v>
      </c>
      <c r="F36" s="9">
        <v>50</v>
      </c>
      <c r="G36" s="10">
        <v>4386</v>
      </c>
      <c r="H36" s="11">
        <f>277+I36</f>
        <v>1720</v>
      </c>
      <c r="I36" s="11">
        <f>865+J36</f>
        <v>1443</v>
      </c>
      <c r="J36" s="12">
        <v>578</v>
      </c>
      <c r="K36" s="9">
        <v>6162</v>
      </c>
      <c r="L36" s="9">
        <v>13273</v>
      </c>
    </row>
    <row r="37" spans="1:12" ht="11.25">
      <c r="A37" s="1" t="s">
        <v>30</v>
      </c>
      <c r="C37" s="9">
        <f>+C36+C35</f>
        <v>3147</v>
      </c>
      <c r="D37" s="9">
        <f aca="true" t="shared" si="6" ref="D37:L37">D35+D36</f>
        <v>2348</v>
      </c>
      <c r="E37" s="9">
        <f t="shared" si="6"/>
        <v>1687</v>
      </c>
      <c r="F37" s="9">
        <f t="shared" si="6"/>
        <v>173</v>
      </c>
      <c r="G37" s="10">
        <f t="shared" si="6"/>
        <v>4653</v>
      </c>
      <c r="H37" s="11">
        <f t="shared" si="6"/>
        <v>1980</v>
      </c>
      <c r="I37" s="11">
        <f t="shared" si="6"/>
        <v>1623</v>
      </c>
      <c r="J37" s="12">
        <f t="shared" si="6"/>
        <v>745</v>
      </c>
      <c r="K37" s="9">
        <f t="shared" si="6"/>
        <v>7653</v>
      </c>
      <c r="L37" s="9">
        <f t="shared" si="6"/>
        <v>14471</v>
      </c>
    </row>
    <row r="38" spans="1:12" ht="11.25">
      <c r="A38" s="1" t="s">
        <v>31</v>
      </c>
      <c r="C38" s="9">
        <v>1168</v>
      </c>
      <c r="D38" s="9">
        <v>978</v>
      </c>
      <c r="E38" s="9">
        <v>795</v>
      </c>
      <c r="F38" s="9">
        <v>167</v>
      </c>
      <c r="G38" s="10">
        <v>2814</v>
      </c>
      <c r="H38" s="11">
        <f>206+I38</f>
        <v>688</v>
      </c>
      <c r="I38" s="11">
        <f>243+J38</f>
        <v>482</v>
      </c>
      <c r="J38" s="12">
        <v>239</v>
      </c>
      <c r="K38" s="9">
        <v>5860</v>
      </c>
      <c r="L38" s="9">
        <v>12551</v>
      </c>
    </row>
    <row r="39" spans="1:12" ht="11.25">
      <c r="A39" s="1" t="s">
        <v>32</v>
      </c>
      <c r="C39" s="9">
        <f>+C37-C38</f>
        <v>1979</v>
      </c>
      <c r="D39" s="9">
        <f aca="true" t="shared" si="7" ref="D39:L39">D37-D38</f>
        <v>1370</v>
      </c>
      <c r="E39" s="9">
        <f t="shared" si="7"/>
        <v>892</v>
      </c>
      <c r="F39" s="9">
        <f t="shared" si="7"/>
        <v>6</v>
      </c>
      <c r="G39" s="10">
        <f t="shared" si="7"/>
        <v>1839</v>
      </c>
      <c r="H39" s="11">
        <f t="shared" si="7"/>
        <v>1292</v>
      </c>
      <c r="I39" s="11">
        <f t="shared" si="7"/>
        <v>1141</v>
      </c>
      <c r="J39" s="12">
        <f t="shared" si="7"/>
        <v>506</v>
      </c>
      <c r="K39" s="9">
        <f t="shared" si="7"/>
        <v>1793</v>
      </c>
      <c r="L39" s="9">
        <f t="shared" si="7"/>
        <v>1920</v>
      </c>
    </row>
    <row r="40" spans="1:12" ht="11.25">
      <c r="A40" s="2" t="s">
        <v>33</v>
      </c>
      <c r="B40" s="2"/>
      <c r="C40" s="14">
        <v>1979</v>
      </c>
      <c r="D40" s="14">
        <v>1370</v>
      </c>
      <c r="E40" s="14">
        <v>892</v>
      </c>
      <c r="F40" s="14">
        <v>6</v>
      </c>
      <c r="G40" s="15">
        <v>1459</v>
      </c>
      <c r="H40" s="14">
        <f>113+I40</f>
        <v>1242</v>
      </c>
      <c r="I40" s="14">
        <f>623+J40</f>
        <v>1129</v>
      </c>
      <c r="J40" s="16">
        <v>506</v>
      </c>
      <c r="K40" s="14">
        <v>1688</v>
      </c>
      <c r="L40" s="14">
        <v>1920</v>
      </c>
    </row>
    <row r="41" spans="1:12" ht="11.25">
      <c r="A41" s="20" t="s">
        <v>34</v>
      </c>
      <c r="B41" s="3"/>
      <c r="C41" s="18"/>
      <c r="D41" s="18"/>
      <c r="E41" s="9"/>
      <c r="F41" s="3"/>
      <c r="G41" s="21"/>
      <c r="H41" s="3"/>
      <c r="I41" s="3"/>
      <c r="J41" s="22"/>
      <c r="K41" s="3"/>
      <c r="L41" s="3"/>
    </row>
    <row r="42" spans="1:12" ht="11.25">
      <c r="A42" s="18" t="s">
        <v>35</v>
      </c>
      <c r="B42" s="18"/>
      <c r="C42" s="23">
        <v>0</v>
      </c>
      <c r="D42" s="11">
        <v>0</v>
      </c>
      <c r="E42" s="9">
        <v>30</v>
      </c>
      <c r="F42" s="18">
        <v>30</v>
      </c>
      <c r="G42" s="10">
        <v>68</v>
      </c>
      <c r="H42" s="11">
        <v>30</v>
      </c>
      <c r="I42" s="11">
        <v>35</v>
      </c>
      <c r="J42" s="12">
        <v>47</v>
      </c>
      <c r="K42" s="11">
        <v>114</v>
      </c>
      <c r="L42" s="11">
        <v>85</v>
      </c>
    </row>
    <row r="43" spans="1:12" ht="11.25">
      <c r="A43" s="18" t="s">
        <v>36</v>
      </c>
      <c r="B43" s="18"/>
      <c r="C43" s="23">
        <v>31</v>
      </c>
      <c r="D43" s="11">
        <v>31</v>
      </c>
      <c r="E43" s="9">
        <v>31</v>
      </c>
      <c r="F43" s="18">
        <v>82</v>
      </c>
      <c r="G43" s="10">
        <v>386</v>
      </c>
      <c r="H43" s="11">
        <v>17</v>
      </c>
      <c r="I43" s="11">
        <v>17</v>
      </c>
      <c r="J43" s="12">
        <v>287</v>
      </c>
      <c r="K43" s="11">
        <v>287</v>
      </c>
      <c r="L43" s="11">
        <v>486</v>
      </c>
    </row>
    <row r="44" spans="1:12" ht="11.25">
      <c r="A44" s="18" t="s">
        <v>37</v>
      </c>
      <c r="B44" s="18"/>
      <c r="C44" s="24">
        <f aca="true" t="shared" si="8" ref="C44:L44">C42/C13</f>
        <v>0</v>
      </c>
      <c r="D44" s="24">
        <f t="shared" si="8"/>
        <v>0</v>
      </c>
      <c r="E44" s="24">
        <f t="shared" si="8"/>
        <v>0.004749841671944269</v>
      </c>
      <c r="F44" s="24">
        <f t="shared" si="8"/>
        <v>0.0034059945504087193</v>
      </c>
      <c r="G44" s="25">
        <f t="shared" si="8"/>
        <v>0.005710926345846981</v>
      </c>
      <c r="H44" s="24">
        <f t="shared" si="8"/>
        <v>0.002164970772894566</v>
      </c>
      <c r="I44" s="24">
        <f t="shared" si="8"/>
        <v>0.0028085379553843687</v>
      </c>
      <c r="J44" s="26">
        <f t="shared" si="8"/>
        <v>0.016979768786127166</v>
      </c>
      <c r="K44" s="24">
        <f t="shared" si="8"/>
        <v>0.006308450002766864</v>
      </c>
      <c r="L44" s="24">
        <f t="shared" si="8"/>
        <v>0.005950297514875744</v>
      </c>
    </row>
    <row r="45" spans="1:12" ht="11.25">
      <c r="A45" s="18" t="s">
        <v>38</v>
      </c>
      <c r="B45" s="18"/>
      <c r="C45" s="23">
        <f>+C42/C43</f>
        <v>0</v>
      </c>
      <c r="D45" s="24">
        <v>0</v>
      </c>
      <c r="E45" s="24">
        <f aca="true" t="shared" si="9" ref="E45:L45">+E43/E42</f>
        <v>1.0333333333333334</v>
      </c>
      <c r="F45" s="24">
        <f t="shared" si="9"/>
        <v>2.7333333333333334</v>
      </c>
      <c r="G45" s="25">
        <f t="shared" si="9"/>
        <v>5.676470588235294</v>
      </c>
      <c r="H45" s="24">
        <f t="shared" si="9"/>
        <v>0.5666666666666667</v>
      </c>
      <c r="I45" s="24">
        <f t="shared" si="9"/>
        <v>0.4857142857142857</v>
      </c>
      <c r="J45" s="26">
        <f t="shared" si="9"/>
        <v>6.1063829787234045</v>
      </c>
      <c r="K45" s="24">
        <f t="shared" si="9"/>
        <v>2.517543859649123</v>
      </c>
      <c r="L45" s="24">
        <f t="shared" si="9"/>
        <v>5.7176470588235295</v>
      </c>
    </row>
    <row r="46" spans="1:12" ht="11.25">
      <c r="A46" s="2" t="s">
        <v>39</v>
      </c>
      <c r="B46" s="2"/>
      <c r="C46" s="27">
        <f>+C43/C13</f>
        <v>0.0011584454409566518</v>
      </c>
      <c r="D46" s="27">
        <f>+D43/D13</f>
        <v>0.0018387804733376832</v>
      </c>
      <c r="E46" s="27">
        <f>+E43/E13</f>
        <v>0.004908169727675744</v>
      </c>
      <c r="F46" s="27">
        <f>+F43/F13</f>
        <v>0.009309718437783833</v>
      </c>
      <c r="G46" s="28">
        <f>386/G13</f>
        <v>0.03241790543377845</v>
      </c>
      <c r="H46" s="27">
        <f>17/H13</f>
        <v>0.0012268167713069206</v>
      </c>
      <c r="I46" s="27">
        <f>17/I13</f>
        <v>0.001364147006900979</v>
      </c>
      <c r="J46" s="29">
        <f>287/J13</f>
        <v>0.1036849710982659</v>
      </c>
      <c r="K46" s="27">
        <f>287/K13</f>
        <v>0.01588179956836921</v>
      </c>
      <c r="L46" s="27">
        <f>486/L13</f>
        <v>0.03402170108505425</v>
      </c>
    </row>
    <row r="47" spans="1:10" ht="11.25">
      <c r="A47" s="4" t="s">
        <v>40</v>
      </c>
      <c r="F47" s="22"/>
      <c r="G47" s="18"/>
      <c r="H47" s="18"/>
      <c r="I47" s="18"/>
      <c r="J47" s="22"/>
    </row>
    <row r="48" spans="1:12" ht="11.25">
      <c r="A48" s="1" t="s">
        <v>41</v>
      </c>
      <c r="C48" s="30">
        <f aca="true" t="shared" si="10" ref="C48:L48">C25/C13</f>
        <v>0.6671150971599402</v>
      </c>
      <c r="D48" s="30">
        <f t="shared" si="10"/>
        <v>1.478616762560057</v>
      </c>
      <c r="E48" s="30">
        <f t="shared" si="10"/>
        <v>3.3487967067764406</v>
      </c>
      <c r="F48" s="26">
        <f t="shared" si="10"/>
        <v>0.43278837420526794</v>
      </c>
      <c r="G48" s="30">
        <f t="shared" si="10"/>
        <v>0.31964390694549427</v>
      </c>
      <c r="H48" s="30">
        <f t="shared" si="10"/>
        <v>0.7279353395395829</v>
      </c>
      <c r="I48" s="30">
        <f t="shared" si="10"/>
        <v>0.8244262558176858</v>
      </c>
      <c r="J48" s="26">
        <f t="shared" si="10"/>
        <v>3.703757225433526</v>
      </c>
      <c r="K48" s="30">
        <f t="shared" si="10"/>
        <v>0.5558629848929224</v>
      </c>
      <c r="L48" s="30">
        <f t="shared" si="10"/>
        <v>0.8049002450122507</v>
      </c>
    </row>
    <row r="49" spans="1:12" ht="11.25">
      <c r="A49" s="2" t="s">
        <v>42</v>
      </c>
      <c r="B49" s="2"/>
      <c r="C49" s="27">
        <f aca="true" t="shared" si="11" ref="C49:L49">C25/(C13+C16)</f>
        <v>0.23231481963458436</v>
      </c>
      <c r="D49" s="27">
        <f t="shared" si="11"/>
        <v>0.3018356177652928</v>
      </c>
      <c r="E49" s="27">
        <f t="shared" si="11"/>
        <v>0.3140273777355465</v>
      </c>
      <c r="F49" s="29">
        <f t="shared" si="11"/>
        <v>0.06866736318766438</v>
      </c>
      <c r="G49" s="27">
        <f t="shared" si="11"/>
        <v>0.07856818463316956</v>
      </c>
      <c r="H49" s="27">
        <f t="shared" si="11"/>
        <v>0.18842583079595762</v>
      </c>
      <c r="I49" s="27">
        <f t="shared" si="11"/>
        <v>0.21890780474293142</v>
      </c>
      <c r="J49" s="29">
        <f t="shared" si="11"/>
        <v>0.327194970159257</v>
      </c>
      <c r="K49" s="27">
        <f t="shared" si="11"/>
        <v>0.21538230627385394</v>
      </c>
      <c r="L49" s="27">
        <f t="shared" si="11"/>
        <v>0.20684692464065338</v>
      </c>
    </row>
    <row r="50" spans="1:10" ht="11.25">
      <c r="A50" s="4" t="s">
        <v>43</v>
      </c>
      <c r="G50" s="17"/>
      <c r="H50" s="18"/>
      <c r="I50" s="18"/>
      <c r="J50" s="19"/>
    </row>
    <row r="51" spans="1:12" ht="11.25">
      <c r="A51" s="1" t="s">
        <v>44</v>
      </c>
      <c r="C51" s="31">
        <f aca="true" t="shared" si="12" ref="C51:L51">C12/C17</f>
        <v>0.14966854393992726</v>
      </c>
      <c r="D51" s="31">
        <f t="shared" si="12"/>
        <v>0.11673868934219289</v>
      </c>
      <c r="E51" s="31">
        <f t="shared" si="12"/>
        <v>0.16121797308598798</v>
      </c>
      <c r="F51" s="30">
        <f t="shared" si="12"/>
        <v>0.14689718128807497</v>
      </c>
      <c r="G51" s="25">
        <f t="shared" si="12"/>
        <v>0.2282494868680099</v>
      </c>
      <c r="H51" s="24">
        <f t="shared" si="12"/>
        <v>0.3508689625759676</v>
      </c>
      <c r="I51" s="24">
        <f t="shared" si="12"/>
        <v>0.47523475985221675</v>
      </c>
      <c r="J51" s="26">
        <f t="shared" si="12"/>
        <v>0.8102194214562296</v>
      </c>
      <c r="K51" s="30">
        <f t="shared" si="12"/>
        <v>0.45761846806171724</v>
      </c>
      <c r="L51" s="30">
        <f t="shared" si="12"/>
        <v>0.36894959132205035</v>
      </c>
    </row>
    <row r="52" spans="1:12" ht="11.25">
      <c r="A52" s="1" t="s">
        <v>45</v>
      </c>
      <c r="C52" s="31">
        <f aca="true" t="shared" si="13" ref="C52:L52">C12/C11</f>
        <v>0.11662190731958173</v>
      </c>
      <c r="D52" s="31">
        <f t="shared" si="13"/>
        <v>0.08280506696256908</v>
      </c>
      <c r="E52" s="31">
        <f t="shared" si="13"/>
        <v>0.11088451381807723</v>
      </c>
      <c r="F52" s="30">
        <f t="shared" si="13"/>
        <v>0.12174221837944664</v>
      </c>
      <c r="G52" s="25">
        <f t="shared" si="13"/>
        <v>0.18093071904105723</v>
      </c>
      <c r="H52" s="24">
        <f t="shared" si="13"/>
        <v>0.22650496262544223</v>
      </c>
      <c r="I52" s="24">
        <f t="shared" si="13"/>
        <v>0.3351654316966588</v>
      </c>
      <c r="J52" s="26">
        <f t="shared" si="13"/>
        <v>0.6125384580061533</v>
      </c>
      <c r="K52" s="30">
        <f t="shared" si="13"/>
        <v>0.32317631075498376</v>
      </c>
      <c r="L52" s="30">
        <f t="shared" si="13"/>
        <v>0.2586923175252461</v>
      </c>
    </row>
    <row r="53" spans="1:12" ht="11.25">
      <c r="A53" s="2" t="s">
        <v>46</v>
      </c>
      <c r="B53" s="2"/>
      <c r="C53" s="32">
        <f aca="true" t="shared" si="14" ref="C53:L53">(C12+C16)/C17</f>
        <v>0.8842103719347647</v>
      </c>
      <c r="D53" s="32">
        <f t="shared" si="14"/>
        <v>1.134798568839738</v>
      </c>
      <c r="E53" s="32">
        <f t="shared" si="14"/>
        <v>1.3213715502166805</v>
      </c>
      <c r="F53" s="27">
        <f t="shared" si="14"/>
        <v>1.0170277772602792</v>
      </c>
      <c r="G53" s="28">
        <f t="shared" si="14"/>
        <v>0.9934444770242533</v>
      </c>
      <c r="H53" s="27">
        <f t="shared" si="14"/>
        <v>1.196929310160998</v>
      </c>
      <c r="I53" s="27">
        <f t="shared" si="14"/>
        <v>1.1385467980295567</v>
      </c>
      <c r="J53" s="29">
        <f t="shared" si="14"/>
        <v>1.243975400501101</v>
      </c>
      <c r="K53" s="27">
        <f t="shared" si="14"/>
        <v>1.0183934670802088</v>
      </c>
      <c r="L53" s="27">
        <f t="shared" si="14"/>
        <v>0.9964297651241226</v>
      </c>
    </row>
    <row r="54" spans="1:10" ht="11.25">
      <c r="A54" s="4" t="s">
        <v>47</v>
      </c>
      <c r="G54" s="17"/>
      <c r="H54" s="18"/>
      <c r="I54" s="18"/>
      <c r="J54" s="19"/>
    </row>
    <row r="55" spans="1:12" ht="11.25">
      <c r="A55" s="1" t="s">
        <v>48</v>
      </c>
      <c r="B55" s="18"/>
      <c r="C55" s="33">
        <f>C40/C28</f>
        <v>0.031591718148875375</v>
      </c>
      <c r="D55" s="33">
        <f>(D40/0.75)/D28</f>
        <v>0.026838866400726805</v>
      </c>
      <c r="E55" s="30">
        <f>(E40/0.5)/E28</f>
        <v>0.031219648778951236</v>
      </c>
      <c r="F55" s="30">
        <f>((F40)/0.25)/F28</f>
        <v>0.0005526961207641024</v>
      </c>
      <c r="G55" s="34">
        <f>G40/G28</f>
        <v>0.030689945309213294</v>
      </c>
      <c r="H55" s="33">
        <f>(H40/0.75)/H28</f>
        <v>0.03258912318334334</v>
      </c>
      <c r="I55" s="33">
        <f>(I40/0.5)/I28</f>
        <v>0.043719444309985964</v>
      </c>
      <c r="J55" s="26">
        <f>((J40)/0.25)/J28</f>
        <v>0.041965146535905704</v>
      </c>
      <c r="K55" s="30">
        <f>K40/K28</f>
        <v>0.03302518953289313</v>
      </c>
      <c r="L55" s="30">
        <f>L40/L28</f>
        <v>0.028876739936380933</v>
      </c>
    </row>
    <row r="56" spans="1:12" ht="11.25">
      <c r="A56" s="1" t="s">
        <v>49</v>
      </c>
      <c r="B56" s="18"/>
      <c r="C56" s="33">
        <f>C40/C27</f>
        <v>0.026790669969811422</v>
      </c>
      <c r="D56" s="33">
        <f>(D40/0.75)/D27</f>
        <v>0.02232215596180793</v>
      </c>
      <c r="E56" s="30">
        <f>(E40/0.5)/E27</f>
        <v>0.02375815687841257</v>
      </c>
      <c r="F56" s="30">
        <f>((F40)/0.25)/F27</f>
        <v>0.00031604730174616133</v>
      </c>
      <c r="G56" s="34">
        <f>G40/G27</f>
        <v>0.022044769466709982</v>
      </c>
      <c r="H56" s="33">
        <f>(H40/0.75)/H27</f>
        <v>0.02250886898370282</v>
      </c>
      <c r="I56" s="33">
        <f>(I40/0.5)/I27</f>
        <v>0.0291182008098419</v>
      </c>
      <c r="J56" s="26">
        <f>((J40)/0.25)/J27</f>
        <v>0.02486196328438327</v>
      </c>
      <c r="K56" s="30">
        <f>K40/K27</f>
        <v>0.020336124329859647</v>
      </c>
      <c r="L56" s="30">
        <f>L40/L27</f>
        <v>0.018811173052994602</v>
      </c>
    </row>
    <row r="57" spans="1:12" ht="11.25">
      <c r="A57" s="1" t="s">
        <v>50</v>
      </c>
      <c r="B57" s="18"/>
      <c r="C57" s="33">
        <f>+C40/C31</f>
        <v>0.18275002308615754</v>
      </c>
      <c r="D57" s="33">
        <f>(D40/0.75)/D31</f>
        <v>0.10433623685087344</v>
      </c>
      <c r="E57" s="30">
        <f>(E40/0.5)/E31</f>
        <v>0.11354017501988863</v>
      </c>
      <c r="F57" s="30">
        <f>((F40)/0.25)/F31</f>
        <v>0.0034129692832764505</v>
      </c>
      <c r="G57" s="34">
        <f>+G40/G31</f>
        <v>0.21067070969605084</v>
      </c>
      <c r="H57" s="33">
        <f>(H40/0.75)/H31</f>
        <v>0.16314467267622285</v>
      </c>
      <c r="I57" s="33">
        <f>(I40/0.5)/I31</f>
        <v>0.22206923682140048</v>
      </c>
      <c r="J57" s="26">
        <f>((J40)/0.25)/J31</f>
        <v>0.19241372754064073</v>
      </c>
      <c r="K57" s="30">
        <f>K40/K31</f>
        <v>0.15670983614167014</v>
      </c>
      <c r="L57" s="30">
        <f>L40/L31</f>
        <v>0.15590110023953554</v>
      </c>
    </row>
    <row r="58" spans="1:12" ht="11.25">
      <c r="A58" s="1" t="s">
        <v>51</v>
      </c>
      <c r="B58" s="18"/>
      <c r="C58" s="33">
        <f>C33/C28</f>
        <v>0.06623246013121976</v>
      </c>
      <c r="D58" s="33">
        <f>(D33/0.75)/D28</f>
        <v>0.05659670440270054</v>
      </c>
      <c r="E58" s="30">
        <f>(E33/0.5)/E28</f>
        <v>0.06373428298931637</v>
      </c>
      <c r="F58" s="30">
        <f>((F33)/0.25)/F28</f>
        <v>0.08981311962416663</v>
      </c>
      <c r="G58" s="34">
        <f>G33/G28</f>
        <v>0.06647034076567102</v>
      </c>
      <c r="H58" s="33">
        <f>(H33/0.75)/H28</f>
        <v>0.061845864205426926</v>
      </c>
      <c r="I58" s="33">
        <f>(I33/0.5)/I28</f>
        <v>0.0568081707730287</v>
      </c>
      <c r="J58" s="26">
        <f>((J33)/0.25)/J28</f>
        <v>0.05747400503830564</v>
      </c>
      <c r="K58" s="30">
        <f>K33/K28</f>
        <v>0.09357789190511127</v>
      </c>
      <c r="L58" s="30">
        <f>L33/L27</f>
        <v>0.06467320485563405</v>
      </c>
    </row>
    <row r="59" spans="1:12" ht="11.25">
      <c r="A59" s="1" t="s">
        <v>52</v>
      </c>
      <c r="B59" s="18"/>
      <c r="C59" s="33">
        <f>C34/C28</f>
        <v>0.05721309643535591</v>
      </c>
      <c r="D59" s="33">
        <f>(D34/0.75)/D28</f>
        <v>0.05183623393892199</v>
      </c>
      <c r="E59" s="30">
        <f>(E34/0.5)/E28</f>
        <v>0.05652436410090386</v>
      </c>
      <c r="F59" s="30">
        <f>((F34)/0.25)/F28</f>
        <v>0.07848284914850254</v>
      </c>
      <c r="G59" s="34">
        <f>G34/G28</f>
        <v>0.06085401766933109</v>
      </c>
      <c r="H59" s="33">
        <f>(H34/0.75)/H28</f>
        <v>0.055023664505210124</v>
      </c>
      <c r="I59" s="33">
        <f>(I34/0.5)/I28</f>
        <v>0.049837843070816595</v>
      </c>
      <c r="J59" s="26">
        <f>((J34)/0.25)/J28</f>
        <v>0.04362384798001265</v>
      </c>
      <c r="K59" s="30">
        <f>K34/K28</f>
        <v>0.06440694546343849</v>
      </c>
      <c r="L59" s="30">
        <f>L34/L27</f>
        <v>0.05293581666944262</v>
      </c>
    </row>
    <row r="60" spans="1:12" ht="11.25">
      <c r="A60" s="1" t="s">
        <v>53</v>
      </c>
      <c r="B60" s="18"/>
      <c r="C60" s="33">
        <f>C35/C28</f>
        <v>0.009019363695863864</v>
      </c>
      <c r="D60" s="33">
        <f>(D35/0.75)/D28</f>
        <v>0.00476047046377855</v>
      </c>
      <c r="E60" s="30">
        <f>(E35/0.5)/E28</f>
        <v>0.007209918888412505</v>
      </c>
      <c r="F60" s="30">
        <f>((F35)/0.25)/F28</f>
        <v>0.011330270475664098</v>
      </c>
      <c r="G60" s="34">
        <f>G35/G28</f>
        <v>0.005616323096339924</v>
      </c>
      <c r="H60" s="33">
        <f>(H35/0.75)/H28</f>
        <v>0.006822199700216802</v>
      </c>
      <c r="I60" s="33">
        <f>(I35/0.5)/I28</f>
        <v>0.006970327702212111</v>
      </c>
      <c r="J60" s="26">
        <f>((J35)/0.25)/J28</f>
        <v>0.013850157058292989</v>
      </c>
      <c r="K60" s="30">
        <f>K35/K28</f>
        <v>0.02917094644167278</v>
      </c>
      <c r="L60" s="30">
        <f>L35/L27</f>
        <v>0.011737388186191423</v>
      </c>
    </row>
    <row r="61" spans="1:12" ht="11.25">
      <c r="A61" s="1" t="s">
        <v>54</v>
      </c>
      <c r="B61" s="18"/>
      <c r="C61" s="33">
        <f>C38/C37</f>
        <v>0.371147124245313</v>
      </c>
      <c r="D61" s="33">
        <f>(D38/0.75)/(D37/0.75)</f>
        <v>0.4165247018739353</v>
      </c>
      <c r="E61" s="30">
        <f>(E38/0.5)/(E37/0.5)</f>
        <v>0.4712507409602845</v>
      </c>
      <c r="F61" s="30">
        <f>(F38/0.25)/(F37/0.25)</f>
        <v>0.9653179190751445</v>
      </c>
      <c r="G61" s="34">
        <f>G38/G37</f>
        <v>0.6047711154094133</v>
      </c>
      <c r="H61" s="33">
        <f>(H38/0.75)/(H37/0.75)</f>
        <v>0.3474747474747475</v>
      </c>
      <c r="I61" s="33">
        <f>(I38/0.5)/(I37/0.5)</f>
        <v>0.29698089956869994</v>
      </c>
      <c r="J61" s="26">
        <f>(J38/0.25)/(J37/0.25)</f>
        <v>0.3208053691275168</v>
      </c>
      <c r="K61" s="30">
        <f>K38/K37</f>
        <v>0.7657127923690056</v>
      </c>
      <c r="L61" s="30">
        <f>L38/L37</f>
        <v>0.8673208485937393</v>
      </c>
    </row>
    <row r="62" spans="1:12" ht="11.25">
      <c r="A62" s="2" t="s">
        <v>55</v>
      </c>
      <c r="B62" s="2"/>
      <c r="C62" s="35">
        <f>C36/C28</f>
        <v>0.041217693916319464</v>
      </c>
      <c r="D62" s="35">
        <f>(D36/0.75)/D28</f>
        <v>0.04123782027264958</v>
      </c>
      <c r="E62" s="27">
        <f>(E36/0.5)/E28</f>
        <v>0.0518344168628103</v>
      </c>
      <c r="F62" s="27">
        <f>(F36/0.25)/F28</f>
        <v>0.00460580100636752</v>
      </c>
      <c r="G62" s="36">
        <f>G36/G28</f>
        <v>0.09225915018931426</v>
      </c>
      <c r="H62" s="35">
        <f>(H36/0.75)/H28</f>
        <v>0.04513147493989577</v>
      </c>
      <c r="I62" s="35">
        <f>(I36/0.5)/I28</f>
        <v>0.055878793746067086</v>
      </c>
      <c r="J62" s="29">
        <f>(J36/0.25)/J28</f>
        <v>0.047936471734690705</v>
      </c>
      <c r="K62" s="27">
        <f>K36/K28</f>
        <v>0.12055759354365371</v>
      </c>
      <c r="L62" s="27">
        <f>L36/L27</f>
        <v>0.13004203121479027</v>
      </c>
    </row>
    <row r="63" spans="1:10" ht="11.25">
      <c r="A63" s="4" t="s">
        <v>56</v>
      </c>
      <c r="G63" s="17"/>
      <c r="H63" s="18"/>
      <c r="I63" s="18"/>
      <c r="J63" s="19"/>
    </row>
    <row r="64" spans="1:12" ht="11.25">
      <c r="A64" s="1" t="s">
        <v>57</v>
      </c>
      <c r="C64" s="1">
        <v>7</v>
      </c>
      <c r="D64" s="9">
        <v>7</v>
      </c>
      <c r="E64" s="9">
        <v>7</v>
      </c>
      <c r="F64" s="1">
        <v>6</v>
      </c>
      <c r="G64" s="10">
        <v>7</v>
      </c>
      <c r="H64" s="11">
        <v>7</v>
      </c>
      <c r="I64" s="11">
        <v>7</v>
      </c>
      <c r="J64" s="12">
        <v>7</v>
      </c>
      <c r="K64" s="9">
        <v>11</v>
      </c>
      <c r="L64" s="9">
        <v>16</v>
      </c>
    </row>
    <row r="65" spans="1:12" ht="11.25">
      <c r="A65" s="1" t="s">
        <v>58</v>
      </c>
      <c r="C65" s="1">
        <v>1</v>
      </c>
      <c r="D65" s="9">
        <v>1</v>
      </c>
      <c r="E65" s="9">
        <v>1</v>
      </c>
      <c r="F65" s="1">
        <v>1</v>
      </c>
      <c r="G65" s="10">
        <v>1</v>
      </c>
      <c r="H65" s="11">
        <v>1</v>
      </c>
      <c r="I65" s="11">
        <v>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5" ref="C66:L66">C13/C64</f>
        <v>3822.8571428571427</v>
      </c>
      <c r="D66" s="9">
        <f t="shared" si="15"/>
        <v>2408.4285714285716</v>
      </c>
      <c r="E66" s="9">
        <f t="shared" si="15"/>
        <v>902.2857142857143</v>
      </c>
      <c r="F66" s="9">
        <f t="shared" si="15"/>
        <v>1468</v>
      </c>
      <c r="G66" s="10">
        <f t="shared" si="15"/>
        <v>1701</v>
      </c>
      <c r="H66" s="11">
        <f t="shared" si="15"/>
        <v>1979.5714285714287</v>
      </c>
      <c r="I66" s="11">
        <f t="shared" si="15"/>
        <v>1780.2857142857142</v>
      </c>
      <c r="J66" s="12">
        <f t="shared" si="15"/>
        <v>395.42857142857144</v>
      </c>
      <c r="K66" s="9">
        <f t="shared" si="15"/>
        <v>1642.8181818181818</v>
      </c>
      <c r="L66" s="9">
        <f t="shared" si="15"/>
        <v>892.8125</v>
      </c>
    </row>
    <row r="67" spans="1:12" ht="11.25">
      <c r="A67" s="1" t="s">
        <v>60</v>
      </c>
      <c r="C67" s="9">
        <f aca="true" t="shared" si="16" ref="C67:L67">+C17/C64</f>
        <v>9740.57142857143</v>
      </c>
      <c r="D67" s="9">
        <f t="shared" si="16"/>
        <v>9223.285714285714</v>
      </c>
      <c r="E67" s="9">
        <f t="shared" si="16"/>
        <v>7516</v>
      </c>
      <c r="F67" s="9">
        <f t="shared" si="16"/>
        <v>8946.166666666666</v>
      </c>
      <c r="G67" s="10">
        <f t="shared" si="16"/>
        <v>6820.857142857143</v>
      </c>
      <c r="H67" s="11">
        <f t="shared" si="16"/>
        <v>6699.285714285715</v>
      </c>
      <c r="I67" s="11">
        <f t="shared" si="16"/>
        <v>7424</v>
      </c>
      <c r="J67" s="12">
        <f t="shared" si="16"/>
        <v>9407.857142857143</v>
      </c>
      <c r="K67" s="9">
        <f t="shared" si="16"/>
        <v>4631.090909090909</v>
      </c>
      <c r="L67" s="9">
        <f t="shared" si="16"/>
        <v>4113.875</v>
      </c>
    </row>
    <row r="68" spans="1:12" ht="11.25">
      <c r="A68" s="2" t="s">
        <v>61</v>
      </c>
      <c r="B68" s="2"/>
      <c r="C68" s="14">
        <f aca="true" t="shared" si="17" ref="C68:L68">+C40/C64</f>
        <v>282.7142857142857</v>
      </c>
      <c r="D68" s="14">
        <f t="shared" si="17"/>
        <v>195.71428571428572</v>
      </c>
      <c r="E68" s="14">
        <f t="shared" si="17"/>
        <v>127.42857142857143</v>
      </c>
      <c r="F68" s="14">
        <f t="shared" si="17"/>
        <v>1</v>
      </c>
      <c r="G68" s="15">
        <f t="shared" si="17"/>
        <v>208.42857142857142</v>
      </c>
      <c r="H68" s="14">
        <f t="shared" si="17"/>
        <v>177.42857142857142</v>
      </c>
      <c r="I68" s="14">
        <f t="shared" si="17"/>
        <v>161.28571428571428</v>
      </c>
      <c r="J68" s="16">
        <f t="shared" si="17"/>
        <v>72.28571428571429</v>
      </c>
      <c r="K68" s="14">
        <f t="shared" si="17"/>
        <v>153.45454545454547</v>
      </c>
      <c r="L68" s="14">
        <f t="shared" si="17"/>
        <v>120</v>
      </c>
    </row>
    <row r="69" spans="1:12" ht="11.25">
      <c r="A69" s="4" t="s">
        <v>62</v>
      </c>
      <c r="B69" s="3"/>
      <c r="C69" s="18"/>
      <c r="D69" s="18"/>
      <c r="F69" s="3"/>
      <c r="G69" s="21"/>
      <c r="H69" s="3"/>
      <c r="I69" s="3"/>
      <c r="J69" s="22"/>
      <c r="K69" s="3"/>
      <c r="L69" s="3"/>
    </row>
    <row r="70" spans="1:12" ht="11.25">
      <c r="A70" s="1" t="s">
        <v>63</v>
      </c>
      <c r="B70" s="18"/>
      <c r="C70" s="30">
        <f>(C11/G11)-1</f>
        <v>0.4527750568625173</v>
      </c>
      <c r="D70" s="30">
        <f>(D11/H11)-1</f>
        <v>0.25299065291906997</v>
      </c>
      <c r="E70" s="30">
        <f>(E11/I11)-1</f>
        <v>0.038107645957169645</v>
      </c>
      <c r="F70" s="24">
        <f>+(F11/J11)-1</f>
        <v>-0.25646324103411855</v>
      </c>
      <c r="G70" s="25">
        <f>+(G11/K11)-1</f>
        <v>-0.16498461197216296</v>
      </c>
      <c r="H70" s="24">
        <f>(H11/74499)-1</f>
        <v>-0.024913086081692404</v>
      </c>
      <c r="I70" s="24">
        <f>(I11/81406)-1</f>
        <v>-0.0948333046704174</v>
      </c>
      <c r="J70" s="26">
        <f>(J11/75710)-1</f>
        <v>0.1505481442345793</v>
      </c>
      <c r="K70" s="24">
        <f>(K11/L11)-1</f>
        <v>-0.23160339170821087</v>
      </c>
      <c r="L70" s="24">
        <f>(L11/110258)-1</f>
        <v>-0.14857878793375534</v>
      </c>
    </row>
    <row r="71" spans="1:12" ht="11.25">
      <c r="A71" s="1" t="s">
        <v>64</v>
      </c>
      <c r="B71" s="18"/>
      <c r="C71" s="30">
        <f>(C13/G13)-1</f>
        <v>1.2474174855127238</v>
      </c>
      <c r="D71" s="30">
        <f>(D13/H13)-1</f>
        <v>0.21664140867431625</v>
      </c>
      <c r="E71" s="30">
        <f>(E13/I13)-1</f>
        <v>-0.49317926496549513</v>
      </c>
      <c r="F71" s="24">
        <f aca="true" t="shared" si="18" ref="F71:L71">SUM(F72:F73)</f>
        <v>2.3560830860534123</v>
      </c>
      <c r="G71" s="25">
        <f t="shared" si="18"/>
        <v>-1.3122111829944547</v>
      </c>
      <c r="H71" s="24">
        <f t="shared" si="18"/>
        <v>-1.1539566151578606</v>
      </c>
      <c r="I71" s="24">
        <f t="shared" si="18"/>
        <v>-1.1383953593436638</v>
      </c>
      <c r="J71" s="26">
        <f t="shared" si="18"/>
        <v>-1.4297810037055332</v>
      </c>
      <c r="K71" s="24">
        <f t="shared" si="18"/>
        <v>0.023349863173111607</v>
      </c>
      <c r="L71" s="24">
        <f t="shared" si="18"/>
        <v>-0.8808371924270936</v>
      </c>
    </row>
    <row r="72" spans="2:12" ht="11.25">
      <c r="B72" s="18" t="s">
        <v>15</v>
      </c>
      <c r="C72" s="30">
        <v>0</v>
      </c>
      <c r="D72" s="37">
        <f>(D14/H14)-1</f>
        <v>-1</v>
      </c>
      <c r="E72" s="37">
        <f>(E14/I14)-1</f>
        <v>-1</v>
      </c>
      <c r="F72" s="24">
        <f>+(F14/J14)-1</f>
        <v>-1</v>
      </c>
      <c r="G72" s="25">
        <f>+(G14/K14)-1</f>
        <v>-1</v>
      </c>
      <c r="H72" s="24">
        <f>(H14/1462)-1</f>
        <v>-0.5451436388508892</v>
      </c>
      <c r="I72" s="24">
        <f>(I14/1462)-1</f>
        <v>-0.4856361149110807</v>
      </c>
      <c r="J72" s="26">
        <f>(J14/1462)-1</f>
        <v>-0.4897400820793434</v>
      </c>
      <c r="K72" s="24">
        <f>(K14/L14)-1</f>
        <v>-0.28598306679209784</v>
      </c>
      <c r="L72" s="24">
        <f>(L14/1462)-1</f>
        <v>-0.27291381668946646</v>
      </c>
    </row>
    <row r="73" spans="2:12" ht="11.25">
      <c r="B73" s="18" t="s">
        <v>16</v>
      </c>
      <c r="C73" s="30">
        <f>(C15/G15)-1</f>
        <v>1.2474174855127238</v>
      </c>
      <c r="D73" s="37">
        <f>(D15/H15)-1</f>
        <v>0.2779714978775014</v>
      </c>
      <c r="E73" s="37">
        <f>(E15/I15)-1</f>
        <v>-0.46063193851409057</v>
      </c>
      <c r="F73" s="24">
        <f>+(F15/J15)-1</f>
        <v>3.3560830860534123</v>
      </c>
      <c r="G73" s="25">
        <f>+(G15/K15)-1</f>
        <v>-0.3122111829944547</v>
      </c>
      <c r="H73" s="24">
        <f>(H15/33723)-1</f>
        <v>-0.6088129763069715</v>
      </c>
      <c r="I73" s="24">
        <f>(I15/33723)-1</f>
        <v>-0.6527592444325832</v>
      </c>
      <c r="J73" s="26">
        <f>(J15/33723)-1</f>
        <v>-0.9400409216261898</v>
      </c>
      <c r="K73" s="24">
        <f>(K15/L15)-1</f>
        <v>0.30933292996520945</v>
      </c>
      <c r="L73" s="24">
        <f>(L15/33723)-1</f>
        <v>-0.6079233757376271</v>
      </c>
    </row>
    <row r="74" spans="1:12" ht="11.25">
      <c r="A74" s="1" t="s">
        <v>65</v>
      </c>
      <c r="B74" s="18"/>
      <c r="C74" s="30">
        <f>(C17/G17)-1</f>
        <v>0.4280568005696812</v>
      </c>
      <c r="D74" s="37">
        <f>(D17/H17)-1</f>
        <v>0.3767565838575542</v>
      </c>
      <c r="E74" s="37">
        <f>(E17/I17)-1</f>
        <v>0.012392241379310276</v>
      </c>
      <c r="F74" s="24">
        <f>SUM(F75:F76)</f>
        <v>-0.1789620202823623</v>
      </c>
      <c r="G74" s="25">
        <f>SUM(G75:G76)</f>
        <v>-1.0523766994145083</v>
      </c>
      <c r="H74" s="24">
        <f>H75+H76</f>
        <v>-1.0991889912200277</v>
      </c>
      <c r="I74" s="24">
        <f>I75+I76</f>
        <v>-0.5385844695144758</v>
      </c>
      <c r="J74" s="26">
        <f>J75+J76</f>
        <v>-0.3823383858175522</v>
      </c>
      <c r="K74" s="24">
        <f>K75+K76</f>
        <v>-0.9060901125596568</v>
      </c>
      <c r="L74" s="24">
        <f>L75+L76</f>
        <v>-0.44360668476049014</v>
      </c>
    </row>
    <row r="75" spans="2:12" ht="11.25">
      <c r="B75" s="18" t="s">
        <v>15</v>
      </c>
      <c r="C75" s="30">
        <v>0</v>
      </c>
      <c r="D75" s="37">
        <f>(D18/H18)-1</f>
        <v>-1</v>
      </c>
      <c r="E75" s="37">
        <f>(E18/I18)-1</f>
        <v>-1</v>
      </c>
      <c r="F75" s="24">
        <v>0</v>
      </c>
      <c r="G75" s="25">
        <f>+(G18/K18)-1</f>
        <v>-1</v>
      </c>
      <c r="H75" s="24">
        <f>(H18/648)-1</f>
        <v>-0.9305555555555556</v>
      </c>
      <c r="I75" s="24">
        <f>(I18/647)-1</f>
        <v>-0.3508500772797527</v>
      </c>
      <c r="J75" s="26">
        <f>(J18/988)-1</f>
        <v>-0.5161943319838056</v>
      </c>
      <c r="K75" s="24">
        <f>(K18/L18)-1</f>
        <v>-0.6932819383259912</v>
      </c>
      <c r="L75" s="24">
        <f>(L18/2612)-1</f>
        <v>-0.3047473200612557</v>
      </c>
    </row>
    <row r="76" spans="2:12" ht="11.25">
      <c r="B76" s="18" t="s">
        <v>16</v>
      </c>
      <c r="C76" s="30">
        <f>(C22/G22)-1</f>
        <v>0.4280568005696812</v>
      </c>
      <c r="D76" s="30">
        <f>(D22/H22)-1</f>
        <v>0.37807897545357516</v>
      </c>
      <c r="E76" s="30">
        <f>(E22/I22)-1</f>
        <v>0.02064095600217275</v>
      </c>
      <c r="F76" s="24">
        <f>+(F22/J22)-1</f>
        <v>-0.1789620202823623</v>
      </c>
      <c r="G76" s="25">
        <f>+(G22/K22)-1</f>
        <v>-0.05237669941450829</v>
      </c>
      <c r="H76" s="24">
        <f>(H22/56353)-1</f>
        <v>-0.1686334356644722</v>
      </c>
      <c r="I76" s="24">
        <f>(I22/63462)-1</f>
        <v>-0.1877343922347231</v>
      </c>
      <c r="J76" s="26">
        <f>(J22/57659)-1</f>
        <v>0.1338559461662534</v>
      </c>
      <c r="K76" s="24">
        <f>(K22/L22)-1</f>
        <v>-0.2128081742336656</v>
      </c>
      <c r="L76" s="24">
        <f>(L22/74327)-1</f>
        <v>-0.13885936469923443</v>
      </c>
    </row>
    <row r="77" spans="1:12" ht="11.25">
      <c r="A77" s="1" t="s">
        <v>66</v>
      </c>
      <c r="B77" s="18"/>
      <c r="C77" s="30">
        <f>(C25/G25)-1</f>
        <v>3.6904887020493957</v>
      </c>
      <c r="D77" s="30">
        <f>(D25/H25)-1</f>
        <v>1.4712996926737385</v>
      </c>
      <c r="E77" s="30">
        <f>(E25/I25)-1</f>
        <v>1.0586918434884174</v>
      </c>
      <c r="F77" s="24">
        <f>+(F25/J25)-1</f>
        <v>-0.6281701131486539</v>
      </c>
      <c r="G77" s="25">
        <f>+(G25/K25)-1</f>
        <v>-0.6211050273768044</v>
      </c>
      <c r="H77" s="24">
        <f>(H25/10214)-1</f>
        <v>-0.01243391423536322</v>
      </c>
      <c r="I77" s="24">
        <f>(I25/10061)-1</f>
        <v>0.021170857767617512</v>
      </c>
      <c r="J77" s="26">
        <f>(J25/10785)-1</f>
        <v>-0.049420491423273094</v>
      </c>
      <c r="K77" s="24">
        <f>(K25/L25)-1</f>
        <v>-0.12636980344407722</v>
      </c>
      <c r="L77" s="24">
        <f>(L25/13133)-1</f>
        <v>-0.12449554557222264</v>
      </c>
    </row>
    <row r="78" spans="1:12" ht="11.25">
      <c r="A78" s="2" t="s">
        <v>67</v>
      </c>
      <c r="B78" s="2"/>
      <c r="C78" s="27">
        <f>(C40/G40)-1</f>
        <v>0.3564084989718985</v>
      </c>
      <c r="D78" s="27">
        <f>(D40/H40)-1</f>
        <v>0.1030595813204509</v>
      </c>
      <c r="E78" s="27">
        <f>(E40/I40)-1</f>
        <v>-0.20992028343666957</v>
      </c>
      <c r="F78" s="27">
        <f>+(F40/J40)-1</f>
        <v>-0.9881422924901185</v>
      </c>
      <c r="G78" s="28">
        <f>+(G40/K40)-1</f>
        <v>-0.13566350710900477</v>
      </c>
      <c r="H78" s="27">
        <f>(H40/1559)-1</f>
        <v>-0.20333547145606157</v>
      </c>
      <c r="I78" s="27">
        <f>(I40/1209)-1</f>
        <v>-0.06617038875103387</v>
      </c>
      <c r="J78" s="29">
        <f>(J40/-446)-1</f>
        <v>-2.1345291479820627</v>
      </c>
      <c r="K78" s="27">
        <f>(K40/L40)-1</f>
        <v>-0.12083333333333335</v>
      </c>
      <c r="L78" s="27">
        <f>(L40/-11227)-1</f>
        <v>-1.171016299991093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7758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2002-03-19T16:34:35Z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