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ogotá (Int)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<sst xmlns="http://schemas.openxmlformats.org/spreadsheetml/2006/main" count="98" uniqueCount="72">
  <si>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CUADRO No. 19-5</t>
  </si>
  <si>
    <t>BANCO DE BOGOTA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</si>
  <si>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</si>
  <si>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</si>
  <si>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</si>
  <si>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</si>
  <si>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</si>
  <si>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</si>
  <si>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</si>
  <si>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</si>
  <si>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</si>
  <si>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</si>
  <si>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</si>
  <si>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</si>
  <si>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</si>
  <si>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</si>
  <si>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</si>
  <si>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</si>
  <si>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</si>
  <si>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</si>
  <si>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</si>
  <si>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</si>
  <si>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</si>
  <si>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</si>
  <si>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</si>
  <si>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</si>
  <si>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</si>
  <si>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</si>
  <si>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</si>
  <si>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</si>
  <si>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</si>
  <si>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</si>
  <si>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</si>
  <si>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</si>
  <si>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</si>
  <si>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</si>
  <si>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</si>
  <si>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</si>
  <si>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</si>
  <si>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 Vencidos</t>
  </si>
  <si>
    <t>ProvisionesCuentas Malas/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</si>
  <si>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</si>
  <si>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</si>
  <si>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</si>
  <si>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</si>
  <si>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</si>
  <si>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</si>
  <si>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</si>
  <si>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</si>
  <si>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</si>
  <si>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N.A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</si>
  <si>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</si>
  <si>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</si>
  <si>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</si>
  <si>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</si>
  <si>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N..A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</si>
  <si>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</si>
  <si>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</si>
  <si>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</si>
  <si>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</si>
  <si>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</si>
  <si>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</si>
  <si>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</si>
  <si>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</si>
  <si>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</si>
  <si>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</si>
  <si>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</si>
  <si>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</si>
  <si>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Utilidad Neta</t>
  </si>
  <si>
    <t>Nota:</t>
  </si>
  <si>
    <t>(1) El  número de empleados considerados corresponde a Lic. General</t>
  </si>
  <si>
    <r>
      <t xml:space="preserve">Número de Empleados </t>
    </r>
    <r>
      <rPr>
        <b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</si>
</sst>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0" fontId="2" fillId="0" borderId="0" xfId="0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15" applyNumberFormat="1" applyFont="1" applyAlignment="1">
      <alignment horizontal="right"/>
    </xf>
    <xf numFmtId="179" fontId="2" fillId="0" borderId="1" xfId="15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0" fontId="2" fillId="0" borderId="7" xfId="0" applyFont="1" applyBorder="1" applyAlignment="1">
      <alignment/>
    </xf>
    <xf numFmtId="182" fontId="2" fillId="0" borderId="0" xfId="19" applyNumberFormat="1" applyFont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0" xfId="19" applyNumberFormat="1" applyFont="1" applyAlignment="1">
      <alignment horizontal="right"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10" fontId="2" fillId="0" borderId="1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6" sqref="B16"/>
    </sheetView>
  </sheetViews>
  <sheetFormatPr defaultColWidth="11.421875" defaultRowHeight="12.75"/>
  <cols>
    <col min="1" max="1" width="2.00390625" style="1" customWidth="1"/>
    <col min="2" max="2" width="40.7109375" style="1" customWidth="1"/>
    <col min="3" max="3" width="8.8515625" style="1" customWidth="1"/>
    <col min="4" max="4" width="10.140625" style="1" customWidth="1"/>
    <col min="5" max="6" width="7.7109375" style="1" bestFit="1" customWidth="1"/>
    <col min="7" max="7" width="8.7109375" style="1" customWidth="1"/>
    <col min="8" max="8" width="10.00390625" style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2"/>
      <c r="C2" s="42"/>
      <c r="D2" s="42"/>
      <c r="E2" s="42"/>
      <c r="F2" s="42" t="s">
        <v>0</v>
      </c>
      <c r="H2" s="42"/>
      <c r="I2" s="42"/>
      <c r="J2" s="42"/>
      <c r="K2" s="42"/>
      <c r="L2" s="42"/>
    </row>
    <row r="3" spans="2:12" ht="11.25">
      <c r="B3" s="42"/>
      <c r="C3" s="42"/>
      <c r="D3" s="42"/>
      <c r="E3" s="42"/>
      <c r="F3" s="42" t="s">
        <v>1</v>
      </c>
      <c r="H3" s="42"/>
      <c r="I3" s="42"/>
      <c r="J3" s="42"/>
      <c r="K3" s="42"/>
      <c r="L3" s="42"/>
    </row>
    <row r="4" spans="2:12" ht="11.25">
      <c r="B4" s="42"/>
      <c r="C4" s="42"/>
      <c r="D4" s="42"/>
      <c r="E4" s="42"/>
      <c r="F4" s="42" t="s">
        <v>2</v>
      </c>
      <c r="H4" s="42"/>
      <c r="I4" s="42"/>
      <c r="J4" s="42"/>
      <c r="K4" s="42"/>
      <c r="L4" s="42"/>
    </row>
    <row r="5" spans="2:12" ht="11.25">
      <c r="B5" s="41"/>
      <c r="C5" s="41"/>
      <c r="D5" s="41"/>
      <c r="E5" s="41"/>
      <c r="F5" s="41" t="s">
        <v>3</v>
      </c>
      <c r="H5" s="41"/>
      <c r="I5" s="41"/>
      <c r="J5" s="41"/>
      <c r="K5" s="41"/>
      <c r="L5" s="41"/>
    </row>
    <row r="6" spans="1:12" ht="11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9">
        <v>2001</v>
      </c>
      <c r="D8" s="49"/>
      <c r="E8" s="49"/>
      <c r="F8" s="50"/>
      <c r="G8" s="48">
        <v>2000</v>
      </c>
      <c r="H8" s="49"/>
      <c r="I8" s="49"/>
      <c r="J8" s="50"/>
      <c r="K8" s="49" t="s">
        <v>4</v>
      </c>
      <c r="L8" s="49"/>
    </row>
    <row r="9" spans="1:12" s="4" customFormat="1" ht="11.25">
      <c r="A9" s="43"/>
      <c r="B9" s="43"/>
      <c r="C9" s="44" t="s">
        <v>5</v>
      </c>
      <c r="D9" s="44" t="s">
        <v>6</v>
      </c>
      <c r="E9" s="43" t="s">
        <v>7</v>
      </c>
      <c r="F9" s="43" t="s">
        <v>8</v>
      </c>
      <c r="G9" s="45" t="s">
        <v>5</v>
      </c>
      <c r="H9" s="44" t="s">
        <v>6</v>
      </c>
      <c r="I9" s="44" t="s">
        <v>7</v>
      </c>
      <c r="J9" s="46" t="s">
        <v>8</v>
      </c>
      <c r="K9" s="47" t="s">
        <v>9</v>
      </c>
      <c r="L9" s="47" t="s">
        <v>10</v>
      </c>
    </row>
    <row r="10" spans="1:12" ht="11.25">
      <c r="A10" s="4" t="s">
        <v>11</v>
      </c>
      <c r="B10" s="4"/>
      <c r="C10" s="5"/>
      <c r="D10" s="4"/>
      <c r="E10" s="4"/>
      <c r="F10" s="6"/>
      <c r="G10" s="7"/>
      <c r="H10" s="8"/>
      <c r="I10" s="8"/>
      <c r="J10" s="9"/>
      <c r="K10" s="6"/>
      <c r="L10" s="6"/>
    </row>
    <row r="11" spans="1:12" ht="11.25">
      <c r="A11" s="1" t="s">
        <v>12</v>
      </c>
      <c r="C11" s="10">
        <v>134039</v>
      </c>
      <c r="D11" s="11">
        <v>121178</v>
      </c>
      <c r="E11" s="11">
        <v>120933</v>
      </c>
      <c r="F11" s="11">
        <v>109944</v>
      </c>
      <c r="G11" s="12">
        <v>110184</v>
      </c>
      <c r="H11" s="10">
        <v>111250</v>
      </c>
      <c r="I11" s="10">
        <v>103509</v>
      </c>
      <c r="J11" s="13">
        <v>101634</v>
      </c>
      <c r="K11" s="11">
        <v>97877</v>
      </c>
      <c r="L11" s="11">
        <v>317161</v>
      </c>
    </row>
    <row r="12" spans="1:12" ht="11.25">
      <c r="A12" s="1" t="s">
        <v>13</v>
      </c>
      <c r="C12" s="10">
        <v>34514</v>
      </c>
      <c r="D12" s="11">
        <v>18353</v>
      </c>
      <c r="E12" s="11">
        <v>35010</v>
      </c>
      <c r="F12" s="11">
        <v>5447</v>
      </c>
      <c r="G12" s="12">
        <v>10764</v>
      </c>
      <c r="H12" s="10">
        <v>18198</v>
      </c>
      <c r="I12" s="10">
        <v>10750</v>
      </c>
      <c r="J12" s="13">
        <v>11936</v>
      </c>
      <c r="K12" s="11">
        <v>19304</v>
      </c>
      <c r="L12" s="11">
        <v>24011</v>
      </c>
    </row>
    <row r="13" spans="1:12" ht="11.25">
      <c r="A13" s="1" t="s">
        <v>14</v>
      </c>
      <c r="C13" s="10">
        <f aca="true" t="shared" si="0" ref="C13:L13">C14+C15</f>
        <v>15657</v>
      </c>
      <c r="D13" s="11">
        <f t="shared" si="0"/>
        <v>21147</v>
      </c>
      <c r="E13" s="11">
        <f t="shared" si="0"/>
        <v>22524</v>
      </c>
      <c r="F13" s="11">
        <f t="shared" si="0"/>
        <v>27588</v>
      </c>
      <c r="G13" s="12">
        <f t="shared" si="0"/>
        <v>26418</v>
      </c>
      <c r="H13" s="10">
        <f t="shared" si="0"/>
        <v>30769</v>
      </c>
      <c r="I13" s="10">
        <f t="shared" si="0"/>
        <v>31298</v>
      </c>
      <c r="J13" s="13">
        <f t="shared" si="0"/>
        <v>33056</v>
      </c>
      <c r="K13" s="11">
        <f t="shared" si="0"/>
        <v>34393</v>
      </c>
      <c r="L13" s="11">
        <f t="shared" si="0"/>
        <v>141893</v>
      </c>
    </row>
    <row r="14" spans="2:12" ht="11.25">
      <c r="B14" s="1" t="s">
        <v>15</v>
      </c>
      <c r="C14" s="14">
        <v>0</v>
      </c>
      <c r="D14" s="15">
        <v>0</v>
      </c>
      <c r="E14" s="11">
        <v>0</v>
      </c>
      <c r="F14" s="11">
        <v>0</v>
      </c>
      <c r="G14" s="12"/>
      <c r="H14" s="10">
        <v>0</v>
      </c>
      <c r="I14" s="10">
        <v>0</v>
      </c>
      <c r="J14" s="13">
        <v>0</v>
      </c>
      <c r="K14" s="11">
        <v>0</v>
      </c>
      <c r="L14" s="11">
        <v>0</v>
      </c>
    </row>
    <row r="15" spans="2:12" ht="11.25">
      <c r="B15" s="1" t="s">
        <v>16</v>
      </c>
      <c r="C15" s="10">
        <v>15657</v>
      </c>
      <c r="D15" s="11">
        <v>21147</v>
      </c>
      <c r="E15" s="11">
        <v>22524</v>
      </c>
      <c r="F15" s="11">
        <v>27588</v>
      </c>
      <c r="G15" s="12">
        <v>26418</v>
      </c>
      <c r="H15" s="10">
        <v>30769</v>
      </c>
      <c r="I15" s="10">
        <v>31298</v>
      </c>
      <c r="J15" s="13">
        <v>33056</v>
      </c>
      <c r="K15" s="11">
        <v>34393</v>
      </c>
      <c r="L15" s="11">
        <v>141893</v>
      </c>
    </row>
    <row r="16" spans="1:12" ht="11.25">
      <c r="A16" s="1" t="s">
        <v>17</v>
      </c>
      <c r="C16" s="10">
        <v>77791</v>
      </c>
      <c r="D16" s="11">
        <v>60939</v>
      </c>
      <c r="E16" s="11">
        <v>60814</v>
      </c>
      <c r="F16" s="11">
        <v>59959</v>
      </c>
      <c r="G16" s="12">
        <v>59820</v>
      </c>
      <c r="H16" s="10">
        <v>57869</v>
      </c>
      <c r="I16" s="10">
        <v>57730</v>
      </c>
      <c r="J16" s="13">
        <v>47461</v>
      </c>
      <c r="K16" s="11">
        <v>35614</v>
      </c>
      <c r="L16" s="11">
        <v>84161</v>
      </c>
    </row>
    <row r="17" spans="1:12" ht="11.25">
      <c r="A17" s="1" t="s">
        <v>18</v>
      </c>
      <c r="C17" s="10">
        <f aca="true" t="shared" si="1" ref="C17:L17">C18+C22</f>
        <v>110135</v>
      </c>
      <c r="D17" s="11">
        <f t="shared" si="1"/>
        <v>107956</v>
      </c>
      <c r="E17" s="11">
        <f t="shared" si="1"/>
        <v>105180</v>
      </c>
      <c r="F17" s="11">
        <f t="shared" si="1"/>
        <v>100232</v>
      </c>
      <c r="G17" s="12">
        <f t="shared" si="1"/>
        <v>98863</v>
      </c>
      <c r="H17" s="10">
        <f t="shared" si="1"/>
        <v>102085</v>
      </c>
      <c r="I17" s="10">
        <f t="shared" si="1"/>
        <v>93969</v>
      </c>
      <c r="J17" s="13">
        <f t="shared" si="1"/>
        <v>89537</v>
      </c>
      <c r="K17" s="11">
        <f t="shared" si="1"/>
        <v>89516</v>
      </c>
      <c r="L17" s="11">
        <f t="shared" si="1"/>
        <v>259851</v>
      </c>
    </row>
    <row r="18" spans="2:12" ht="11.25">
      <c r="B18" s="1" t="s">
        <v>15</v>
      </c>
      <c r="C18" s="10">
        <f aca="true" t="shared" si="2" ref="C18:L18">SUM(C19:C21)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2">
        <f t="shared" si="2"/>
        <v>0</v>
      </c>
      <c r="H18" s="10">
        <f t="shared" si="2"/>
        <v>0</v>
      </c>
      <c r="I18" s="10">
        <f t="shared" si="2"/>
        <v>0</v>
      </c>
      <c r="J18" s="13">
        <f t="shared" si="2"/>
        <v>0</v>
      </c>
      <c r="K18" s="11">
        <f t="shared" si="2"/>
        <v>0</v>
      </c>
      <c r="L18" s="11">
        <f t="shared" si="2"/>
        <v>0</v>
      </c>
    </row>
    <row r="19" spans="2:12" ht="11.25">
      <c r="B19" s="1" t="s">
        <v>19</v>
      </c>
      <c r="C19" s="10">
        <v>0</v>
      </c>
      <c r="D19" s="11">
        <v>0</v>
      </c>
      <c r="E19" s="11">
        <v>0</v>
      </c>
      <c r="F19" s="11">
        <v>0</v>
      </c>
      <c r="G19" s="12">
        <v>0</v>
      </c>
      <c r="H19" s="10">
        <v>0</v>
      </c>
      <c r="I19" s="10">
        <v>0</v>
      </c>
      <c r="J19" s="13">
        <v>0</v>
      </c>
      <c r="K19" s="11">
        <v>0</v>
      </c>
      <c r="L19" s="11">
        <v>0</v>
      </c>
    </row>
    <row r="20" spans="2:12" ht="11.25">
      <c r="B20" s="1" t="s">
        <v>20</v>
      </c>
      <c r="C20" s="10">
        <v>0</v>
      </c>
      <c r="D20" s="11">
        <v>0</v>
      </c>
      <c r="E20" s="11">
        <v>0</v>
      </c>
      <c r="F20" s="11">
        <v>0</v>
      </c>
      <c r="G20" s="12">
        <v>0</v>
      </c>
      <c r="H20" s="10">
        <v>0</v>
      </c>
      <c r="I20" s="10">
        <v>0</v>
      </c>
      <c r="J20" s="13">
        <v>0</v>
      </c>
      <c r="K20" s="11">
        <v>0</v>
      </c>
      <c r="L20" s="11">
        <v>0</v>
      </c>
    </row>
    <row r="21" spans="2:12" ht="11.25">
      <c r="B21" s="1" t="s">
        <v>21</v>
      </c>
      <c r="C21" s="10">
        <v>0</v>
      </c>
      <c r="D21" s="11">
        <v>0</v>
      </c>
      <c r="E21" s="11">
        <v>0</v>
      </c>
      <c r="F21" s="11">
        <v>0</v>
      </c>
      <c r="G21" s="12">
        <v>0</v>
      </c>
      <c r="H21" s="10">
        <v>0</v>
      </c>
      <c r="I21" s="10">
        <v>0</v>
      </c>
      <c r="J21" s="13">
        <v>0</v>
      </c>
      <c r="K21" s="11">
        <v>0</v>
      </c>
      <c r="L21" s="11">
        <v>0</v>
      </c>
    </row>
    <row r="22" spans="2:12" ht="11.25">
      <c r="B22" s="1" t="s">
        <v>16</v>
      </c>
      <c r="C22" s="10">
        <f aca="true" t="shared" si="3" ref="C22:L22">SUM(C23:C24)</f>
        <v>110135</v>
      </c>
      <c r="D22" s="11">
        <f t="shared" si="3"/>
        <v>107956</v>
      </c>
      <c r="E22" s="11">
        <f t="shared" si="3"/>
        <v>105180</v>
      </c>
      <c r="F22" s="11">
        <f t="shared" si="3"/>
        <v>100232</v>
      </c>
      <c r="G22" s="12">
        <f t="shared" si="3"/>
        <v>98863</v>
      </c>
      <c r="H22" s="10">
        <f t="shared" si="3"/>
        <v>102085</v>
      </c>
      <c r="I22" s="10">
        <f t="shared" si="3"/>
        <v>93969</v>
      </c>
      <c r="J22" s="13">
        <f t="shared" si="3"/>
        <v>89537</v>
      </c>
      <c r="K22" s="11">
        <f t="shared" si="3"/>
        <v>89516</v>
      </c>
      <c r="L22" s="11">
        <f t="shared" si="3"/>
        <v>259851</v>
      </c>
    </row>
    <row r="23" spans="2:12" ht="11.25">
      <c r="B23" s="1" t="s">
        <v>20</v>
      </c>
      <c r="C23" s="10">
        <f>13556+95939</f>
        <v>109495</v>
      </c>
      <c r="D23" s="11">
        <f>10364+97209</f>
        <v>107573</v>
      </c>
      <c r="E23" s="11">
        <v>104806</v>
      </c>
      <c r="F23" s="11">
        <v>99782</v>
      </c>
      <c r="G23" s="12">
        <f>88884+9539</f>
        <v>98423</v>
      </c>
      <c r="H23" s="10">
        <v>101380</v>
      </c>
      <c r="I23" s="10">
        <v>93345</v>
      </c>
      <c r="J23" s="13">
        <v>89440</v>
      </c>
      <c r="K23" s="11">
        <v>88344</v>
      </c>
      <c r="L23" s="11">
        <v>259851</v>
      </c>
    </row>
    <row r="24" spans="2:12" ht="11.25">
      <c r="B24" s="1" t="s">
        <v>21</v>
      </c>
      <c r="C24" s="16">
        <f>586+51+3</f>
        <v>640</v>
      </c>
      <c r="D24" s="11">
        <f>330+3+50</f>
        <v>383</v>
      </c>
      <c r="E24" s="11">
        <v>374</v>
      </c>
      <c r="F24" s="11">
        <v>450</v>
      </c>
      <c r="G24" s="12">
        <f>385+5+50</f>
        <v>440</v>
      </c>
      <c r="H24" s="10">
        <v>705</v>
      </c>
      <c r="I24" s="10">
        <v>624</v>
      </c>
      <c r="J24" s="13">
        <v>97</v>
      </c>
      <c r="K24" s="11">
        <v>1172</v>
      </c>
      <c r="L24" s="11">
        <v>0</v>
      </c>
    </row>
    <row r="25" spans="1:12" ht="11.25">
      <c r="A25" s="2" t="s">
        <v>22</v>
      </c>
      <c r="B25" s="2"/>
      <c r="C25" s="17">
        <v>13696</v>
      </c>
      <c r="D25" s="17">
        <v>9543</v>
      </c>
      <c r="E25" s="17">
        <v>9543</v>
      </c>
      <c r="F25" s="17">
        <v>7781</v>
      </c>
      <c r="G25" s="18">
        <v>7908</v>
      </c>
      <c r="H25" s="17">
        <v>6116</v>
      </c>
      <c r="I25" s="17">
        <v>6053</v>
      </c>
      <c r="J25" s="19">
        <v>8299</v>
      </c>
      <c r="K25" s="17">
        <v>5782</v>
      </c>
      <c r="L25" s="17">
        <v>5529</v>
      </c>
    </row>
    <row r="26" spans="1:12" ht="11.25">
      <c r="A26" s="4" t="s">
        <v>23</v>
      </c>
      <c r="C26" s="16"/>
      <c r="F26" s="11"/>
      <c r="G26" s="12"/>
      <c r="H26" s="10"/>
      <c r="I26" s="10"/>
      <c r="J26" s="13"/>
      <c r="K26" s="11"/>
      <c r="L26" s="11"/>
    </row>
    <row r="27" spans="1:12" ht="11.25">
      <c r="A27" s="1" t="s">
        <v>12</v>
      </c>
      <c r="C27" s="10">
        <f>(C11+G11)/2</f>
        <v>122111.5</v>
      </c>
      <c r="D27" s="11">
        <f>(D11+H11)/2</f>
        <v>116214</v>
      </c>
      <c r="E27" s="11">
        <f>(E11+I11)/2</f>
        <v>112221</v>
      </c>
      <c r="F27" s="11">
        <f>+(F11+J11)/2</f>
        <v>105789</v>
      </c>
      <c r="G27" s="12">
        <f>+(G11+K11)/2</f>
        <v>104030.5</v>
      </c>
      <c r="H27" s="10">
        <f>+(87483+H11)/2</f>
        <v>99366.5</v>
      </c>
      <c r="I27" s="10">
        <f>+(71490+I11)/2</f>
        <v>87499.5</v>
      </c>
      <c r="J27" s="13">
        <f>+(80543+J11)/2</f>
        <v>91088.5</v>
      </c>
      <c r="K27" s="11">
        <f>(K11+L11)/2</f>
        <v>207519</v>
      </c>
      <c r="L27" s="20" t="s">
        <v>24</v>
      </c>
    </row>
    <row r="28" spans="1:12" ht="11.25">
      <c r="A28" s="1" t="s">
        <v>25</v>
      </c>
      <c r="C28" s="10">
        <f aca="true" t="shared" si="4" ref="C28:K28">C29+C30</f>
        <v>89843</v>
      </c>
      <c r="D28" s="11">
        <f t="shared" si="4"/>
        <v>85362</v>
      </c>
      <c r="E28" s="11">
        <f t="shared" si="4"/>
        <v>86183</v>
      </c>
      <c r="F28" s="11">
        <f t="shared" si="4"/>
        <v>84032</v>
      </c>
      <c r="G28" s="12">
        <f t="shared" si="4"/>
        <v>78122.5</v>
      </c>
      <c r="H28" s="10">
        <f t="shared" si="4"/>
        <v>80629</v>
      </c>
      <c r="I28" s="10">
        <f t="shared" si="4"/>
        <v>78103</v>
      </c>
      <c r="J28" s="13">
        <f t="shared" si="4"/>
        <v>77948</v>
      </c>
      <c r="K28" s="11">
        <f t="shared" si="4"/>
        <v>98124.25</v>
      </c>
      <c r="L28" s="20" t="s">
        <v>24</v>
      </c>
    </row>
    <row r="29" spans="2:12" ht="11.25">
      <c r="B29" s="1" t="s">
        <v>14</v>
      </c>
      <c r="C29" s="10">
        <f>(C13+G13)/2</f>
        <v>21037.5</v>
      </c>
      <c r="D29" s="11">
        <f>(D13+H13)/2</f>
        <v>25958</v>
      </c>
      <c r="E29" s="11">
        <f>(E13+I13)/2</f>
        <v>26911</v>
      </c>
      <c r="F29" s="11">
        <f>+(F13+J13)/2</f>
        <v>30322</v>
      </c>
      <c r="G29" s="12">
        <f>+(G13+K13)/2</f>
        <v>30405.5</v>
      </c>
      <c r="H29" s="10">
        <f>+(37025+H13)/2</f>
        <v>33897</v>
      </c>
      <c r="I29" s="10">
        <f>+(29793+I13)/2</f>
        <v>30545.5</v>
      </c>
      <c r="J29" s="13">
        <f>+(39764+J13)/2</f>
        <v>36410</v>
      </c>
      <c r="K29" s="11">
        <f>(K13+L13)/2</f>
        <v>88143</v>
      </c>
      <c r="L29" s="20" t="s">
        <v>24</v>
      </c>
    </row>
    <row r="30" spans="2:12" ht="11.25">
      <c r="B30" s="1" t="s">
        <v>17</v>
      </c>
      <c r="C30" s="10">
        <f>(C16+G16)/2</f>
        <v>68805.5</v>
      </c>
      <c r="D30" s="11">
        <f>(D16+H16)/2</f>
        <v>59404</v>
      </c>
      <c r="E30" s="11">
        <f>(E16+I16)/2</f>
        <v>59272</v>
      </c>
      <c r="F30" s="11">
        <f>+(F16+J16)/2</f>
        <v>53710</v>
      </c>
      <c r="G30" s="12">
        <f>+(G16+K16)/2</f>
        <v>47717</v>
      </c>
      <c r="H30" s="10">
        <f>+(35595+H16)/2</f>
        <v>46732</v>
      </c>
      <c r="I30" s="10">
        <f>+(37385+I16)/2</f>
        <v>47557.5</v>
      </c>
      <c r="J30" s="13">
        <f>+(35615+J16)/2</f>
        <v>41538</v>
      </c>
      <c r="K30" s="11">
        <f>(K16+L16)/12</f>
        <v>9981.25</v>
      </c>
      <c r="L30" s="20" t="s">
        <v>24</v>
      </c>
    </row>
    <row r="31" spans="1:12" ht="11.25">
      <c r="A31" s="2" t="s">
        <v>22</v>
      </c>
      <c r="B31" s="2"/>
      <c r="C31" s="17">
        <f>(C25+G25)/2</f>
        <v>10802</v>
      </c>
      <c r="D31" s="17">
        <f>(D25+H25)/2</f>
        <v>7829.5</v>
      </c>
      <c r="E31" s="17">
        <f>(E25+I25)/2</f>
        <v>7798</v>
      </c>
      <c r="F31" s="17">
        <f>+(F25+J25)/2</f>
        <v>8040</v>
      </c>
      <c r="G31" s="18">
        <f>+(G25+K25)/2</f>
        <v>6845</v>
      </c>
      <c r="H31" s="17">
        <f>+(6792+H25)/2</f>
        <v>6454</v>
      </c>
      <c r="I31" s="17">
        <f>+(7295+I25)/2</f>
        <v>6674</v>
      </c>
      <c r="J31" s="19">
        <f>+(5916+J25)/2</f>
        <v>7107.5</v>
      </c>
      <c r="K31" s="17">
        <f>(K25+L25)/2</f>
        <v>5655.5</v>
      </c>
      <c r="L31" s="21" t="s">
        <v>24</v>
      </c>
    </row>
    <row r="32" spans="1:10" ht="11.25">
      <c r="A32" s="4" t="s">
        <v>26</v>
      </c>
      <c r="C32" s="16"/>
      <c r="F32" s="11"/>
      <c r="G32" s="22"/>
      <c r="H32" s="16"/>
      <c r="I32" s="16"/>
      <c r="J32" s="23"/>
    </row>
    <row r="33" spans="1:12" ht="11.25">
      <c r="A33" s="1" t="s">
        <v>27</v>
      </c>
      <c r="C33" s="10">
        <v>5652</v>
      </c>
      <c r="D33" s="11">
        <v>4323</v>
      </c>
      <c r="E33" s="11">
        <v>2962</v>
      </c>
      <c r="F33" s="11">
        <v>1505</v>
      </c>
      <c r="G33" s="12">
        <v>6778</v>
      </c>
      <c r="H33" s="10">
        <v>4964</v>
      </c>
      <c r="I33" s="10">
        <v>3193</v>
      </c>
      <c r="J33" s="13">
        <v>1581</v>
      </c>
      <c r="K33" s="11">
        <v>6335</v>
      </c>
      <c r="L33" s="11">
        <v>8828</v>
      </c>
    </row>
    <row r="34" spans="1:12" ht="11.25">
      <c r="A34" s="1" t="s">
        <v>28</v>
      </c>
      <c r="C34" s="10">
        <v>5311</v>
      </c>
      <c r="D34" s="11">
        <v>4191</v>
      </c>
      <c r="E34" s="11">
        <v>2851</v>
      </c>
      <c r="F34" s="11">
        <v>1510</v>
      </c>
      <c r="G34" s="12">
        <v>6046</v>
      </c>
      <c r="H34" s="10">
        <v>4386</v>
      </c>
      <c r="I34" s="10">
        <v>2774</v>
      </c>
      <c r="J34" s="13">
        <v>1325</v>
      </c>
      <c r="K34" s="11">
        <v>3890</v>
      </c>
      <c r="L34" s="11">
        <v>4697</v>
      </c>
    </row>
    <row r="35" spans="1:12" ht="11.25">
      <c r="A35" s="1" t="s">
        <v>29</v>
      </c>
      <c r="C35" s="10">
        <f>+C33-C34</f>
        <v>341</v>
      </c>
      <c r="D35" s="11">
        <f>D33-D34</f>
        <v>132</v>
      </c>
      <c r="E35" s="11">
        <v>111</v>
      </c>
      <c r="F35" s="11">
        <f aca="true" t="shared" si="5" ref="F35:L35">F33-F34</f>
        <v>-5</v>
      </c>
      <c r="G35" s="12">
        <f t="shared" si="5"/>
        <v>732</v>
      </c>
      <c r="H35" s="10">
        <f t="shared" si="5"/>
        <v>578</v>
      </c>
      <c r="I35" s="10">
        <f t="shared" si="5"/>
        <v>419</v>
      </c>
      <c r="J35" s="13">
        <f t="shared" si="5"/>
        <v>256</v>
      </c>
      <c r="K35" s="11">
        <f t="shared" si="5"/>
        <v>2445</v>
      </c>
      <c r="L35" s="11">
        <f t="shared" si="5"/>
        <v>4131</v>
      </c>
    </row>
    <row r="36" spans="1:12" ht="11.25">
      <c r="A36" s="1" t="s">
        <v>30</v>
      </c>
      <c r="C36" s="10">
        <v>6946</v>
      </c>
      <c r="D36" s="11">
        <v>2967</v>
      </c>
      <c r="E36" s="11">
        <v>2898</v>
      </c>
      <c r="F36" s="11">
        <v>30</v>
      </c>
      <c r="G36" s="12">
        <v>4290</v>
      </c>
      <c r="H36" s="10">
        <v>2419</v>
      </c>
      <c r="I36" s="10">
        <v>2381</v>
      </c>
      <c r="J36" s="13">
        <v>2352</v>
      </c>
      <c r="K36" s="11">
        <v>102</v>
      </c>
      <c r="L36" s="11">
        <v>76</v>
      </c>
    </row>
    <row r="37" spans="1:12" ht="11.25">
      <c r="A37" s="1" t="s">
        <v>31</v>
      </c>
      <c r="C37" s="10">
        <f>+C36+C35</f>
        <v>7287</v>
      </c>
      <c r="D37" s="11">
        <f aca="true" t="shared" si="6" ref="D37:L37">D35+D36</f>
        <v>3099</v>
      </c>
      <c r="E37" s="11">
        <f t="shared" si="6"/>
        <v>3009</v>
      </c>
      <c r="F37" s="11">
        <f t="shared" si="6"/>
        <v>25</v>
      </c>
      <c r="G37" s="12">
        <f t="shared" si="6"/>
        <v>5022</v>
      </c>
      <c r="H37" s="10">
        <f t="shared" si="6"/>
        <v>2997</v>
      </c>
      <c r="I37" s="10">
        <f t="shared" si="6"/>
        <v>2800</v>
      </c>
      <c r="J37" s="13">
        <f t="shared" si="6"/>
        <v>2608</v>
      </c>
      <c r="K37" s="11">
        <f t="shared" si="6"/>
        <v>2547</v>
      </c>
      <c r="L37" s="11">
        <f t="shared" si="6"/>
        <v>4207</v>
      </c>
    </row>
    <row r="38" spans="1:12" ht="11.25">
      <c r="A38" s="1" t="s">
        <v>32</v>
      </c>
      <c r="C38" s="16">
        <v>248</v>
      </c>
      <c r="D38" s="11">
        <v>212</v>
      </c>
      <c r="E38" s="11">
        <v>147</v>
      </c>
      <c r="F38" s="11">
        <v>78</v>
      </c>
      <c r="G38" s="12">
        <v>256</v>
      </c>
      <c r="H38" s="10">
        <v>126</v>
      </c>
      <c r="I38" s="10">
        <v>85</v>
      </c>
      <c r="J38" s="13">
        <v>44</v>
      </c>
      <c r="K38" s="11">
        <v>398</v>
      </c>
      <c r="L38" s="11">
        <v>281</v>
      </c>
    </row>
    <row r="39" spans="1:12" ht="11.25">
      <c r="A39" s="1" t="s">
        <v>33</v>
      </c>
      <c r="C39" s="10">
        <v>7040</v>
      </c>
      <c r="D39" s="11">
        <f aca="true" t="shared" si="7" ref="D39:L39">D37-D38</f>
        <v>2887</v>
      </c>
      <c r="E39" s="11">
        <f t="shared" si="7"/>
        <v>2862</v>
      </c>
      <c r="F39" s="11">
        <f t="shared" si="7"/>
        <v>-53</v>
      </c>
      <c r="G39" s="12">
        <f t="shared" si="7"/>
        <v>4766</v>
      </c>
      <c r="H39" s="10">
        <f t="shared" si="7"/>
        <v>2871</v>
      </c>
      <c r="I39" s="10">
        <f t="shared" si="7"/>
        <v>2715</v>
      </c>
      <c r="J39" s="13">
        <f t="shared" si="7"/>
        <v>2564</v>
      </c>
      <c r="K39" s="11">
        <f t="shared" si="7"/>
        <v>2149</v>
      </c>
      <c r="L39" s="11">
        <f t="shared" si="7"/>
        <v>3926</v>
      </c>
    </row>
    <row r="40" spans="1:12" ht="11.25">
      <c r="A40" s="2" t="s">
        <v>34</v>
      </c>
      <c r="B40" s="2"/>
      <c r="C40" s="17">
        <f>+C39-1251</f>
        <v>5789</v>
      </c>
      <c r="D40" s="17">
        <f>2887-1251</f>
        <v>1636</v>
      </c>
      <c r="E40" s="17">
        <v>1635</v>
      </c>
      <c r="F40" s="17">
        <v>-127</v>
      </c>
      <c r="G40" s="18">
        <v>4450</v>
      </c>
      <c r="H40" s="17">
        <v>2654</v>
      </c>
      <c r="I40" s="17">
        <v>2595</v>
      </c>
      <c r="J40" s="19">
        <v>2514</v>
      </c>
      <c r="K40" s="17">
        <v>2069</v>
      </c>
      <c r="L40" s="17">
        <v>3927</v>
      </c>
    </row>
    <row r="41" spans="1:10" ht="11.25">
      <c r="A41" s="4" t="s">
        <v>35</v>
      </c>
      <c r="C41" s="16"/>
      <c r="E41" s="11"/>
      <c r="G41" s="22"/>
      <c r="H41" s="16"/>
      <c r="I41" s="16"/>
      <c r="J41" s="23"/>
    </row>
    <row r="42" spans="1:12" ht="11.25">
      <c r="A42" s="1" t="s">
        <v>36</v>
      </c>
      <c r="C42" s="10">
        <v>0</v>
      </c>
      <c r="D42" s="11">
        <v>0</v>
      </c>
      <c r="E42" s="11">
        <v>0</v>
      </c>
      <c r="F42" s="15">
        <v>0</v>
      </c>
      <c r="G42" s="12">
        <v>1032</v>
      </c>
      <c r="H42" s="10">
        <v>9032</v>
      </c>
      <c r="I42" s="10">
        <v>1032</v>
      </c>
      <c r="J42" s="13">
        <v>1032</v>
      </c>
      <c r="K42" s="11">
        <v>1032</v>
      </c>
      <c r="L42" s="11">
        <v>1032</v>
      </c>
    </row>
    <row r="43" spans="1:12" ht="11.25">
      <c r="A43" s="1" t="s">
        <v>37</v>
      </c>
      <c r="C43" s="16">
        <v>660</v>
      </c>
      <c r="D43" s="11">
        <v>666</v>
      </c>
      <c r="E43" s="11">
        <v>641</v>
      </c>
      <c r="F43" s="1">
        <v>490</v>
      </c>
      <c r="G43" s="12">
        <v>1447</v>
      </c>
      <c r="H43" s="10">
        <v>1347</v>
      </c>
      <c r="I43" s="10">
        <v>1250</v>
      </c>
      <c r="J43" s="13">
        <v>1180</v>
      </c>
      <c r="K43" s="11">
        <v>1130</v>
      </c>
      <c r="L43" s="11">
        <v>0</v>
      </c>
    </row>
    <row r="44" spans="1:12" ht="11.25">
      <c r="A44" s="1" t="s">
        <v>38</v>
      </c>
      <c r="C44" s="24">
        <f aca="true" t="shared" si="8" ref="C44:L44">C42/C13</f>
        <v>0</v>
      </c>
      <c r="D44" s="25">
        <f t="shared" si="8"/>
        <v>0</v>
      </c>
      <c r="E44" s="25">
        <f t="shared" si="8"/>
        <v>0</v>
      </c>
      <c r="F44" s="25">
        <f t="shared" si="8"/>
        <v>0</v>
      </c>
      <c r="G44" s="26">
        <f t="shared" si="8"/>
        <v>0.03906427435839201</v>
      </c>
      <c r="H44" s="24">
        <f t="shared" si="8"/>
        <v>0.29354220156651173</v>
      </c>
      <c r="I44" s="24">
        <f t="shared" si="8"/>
        <v>0.032973352929899676</v>
      </c>
      <c r="J44" s="27">
        <f t="shared" si="8"/>
        <v>0.03121974830590513</v>
      </c>
      <c r="K44" s="25">
        <f t="shared" si="8"/>
        <v>0.03000610589364115</v>
      </c>
      <c r="L44" s="25">
        <f t="shared" si="8"/>
        <v>0.00727308605780412</v>
      </c>
    </row>
    <row r="45" spans="1:12" ht="11.25">
      <c r="A45" s="1" t="s">
        <v>39</v>
      </c>
      <c r="C45" s="24">
        <v>0</v>
      </c>
      <c r="D45" s="25">
        <v>0</v>
      </c>
      <c r="E45" s="25">
        <v>0</v>
      </c>
      <c r="F45" s="24">
        <v>0</v>
      </c>
      <c r="G45" s="26">
        <f>1447/G13</f>
        <v>0.054773260655613595</v>
      </c>
      <c r="H45" s="24">
        <f>1347/H13</f>
        <v>0.0437778283337125</v>
      </c>
      <c r="I45" s="24">
        <f>1250/I13</f>
        <v>0.03993865422710716</v>
      </c>
      <c r="J45" s="27">
        <f>1180/J13</f>
        <v>0.035696999031945786</v>
      </c>
      <c r="K45" s="25">
        <f>1130/K13</f>
        <v>0.03285552292617684</v>
      </c>
      <c r="L45" s="25">
        <f>0/L13</f>
        <v>0</v>
      </c>
    </row>
    <row r="46" spans="1:12" ht="11.25">
      <c r="A46" s="2" t="s">
        <v>40</v>
      </c>
      <c r="B46" s="2"/>
      <c r="C46" s="28">
        <f>C43/C13</f>
        <v>0.042153669285303695</v>
      </c>
      <c r="D46" s="28">
        <f>D43/D13</f>
        <v>0.031493828911902395</v>
      </c>
      <c r="E46" s="28">
        <f>E43/E13</f>
        <v>0.028458533120227312</v>
      </c>
      <c r="F46" s="28">
        <f>+F43/F13</f>
        <v>0.017761345512541684</v>
      </c>
      <c r="G46" s="29">
        <f>1447/G42</f>
        <v>1.4021317829457365</v>
      </c>
      <c r="H46" s="28">
        <f>1347/H42</f>
        <v>0.14913640389725422</v>
      </c>
      <c r="I46" s="28">
        <f>1250/I42</f>
        <v>1.2112403100775193</v>
      </c>
      <c r="J46" s="30">
        <f>1180/J42</f>
        <v>1.1434108527131783</v>
      </c>
      <c r="K46" s="28">
        <f>1130/K42</f>
        <v>1.0949612403100775</v>
      </c>
      <c r="L46" s="28">
        <f>0/L42</f>
        <v>0</v>
      </c>
    </row>
    <row r="47" spans="1:10" ht="11.25">
      <c r="A47" s="4" t="s">
        <v>41</v>
      </c>
      <c r="C47" s="3"/>
      <c r="D47" s="3"/>
      <c r="E47" s="3"/>
      <c r="F47" s="31"/>
      <c r="G47" s="16"/>
      <c r="H47" s="16"/>
      <c r="I47" s="16"/>
      <c r="J47" s="31"/>
    </row>
    <row r="48" spans="1:12" ht="11.25">
      <c r="A48" s="1" t="s">
        <v>42</v>
      </c>
      <c r="C48" s="24">
        <f aca="true" t="shared" si="9" ref="C48:L48">C25/C13</f>
        <v>0.8747525068659385</v>
      </c>
      <c r="D48" s="24">
        <f t="shared" si="9"/>
        <v>0.45126968364306996</v>
      </c>
      <c r="E48" s="24">
        <f t="shared" si="9"/>
        <v>0.4236814064997336</v>
      </c>
      <c r="F48" s="27">
        <f t="shared" si="9"/>
        <v>0.2820429172103813</v>
      </c>
      <c r="G48" s="25">
        <f t="shared" si="9"/>
        <v>0.29934135816488755</v>
      </c>
      <c r="H48" s="25">
        <f t="shared" si="9"/>
        <v>0.1987714907861809</v>
      </c>
      <c r="I48" s="25">
        <f t="shared" si="9"/>
        <v>0.19339893922934373</v>
      </c>
      <c r="J48" s="27">
        <f t="shared" si="9"/>
        <v>0.2510588092933204</v>
      </c>
      <c r="K48" s="25">
        <f t="shared" si="9"/>
        <v>0.16811560491960573</v>
      </c>
      <c r="L48" s="25">
        <f t="shared" si="9"/>
        <v>0.03896598140852614</v>
      </c>
    </row>
    <row r="49" spans="1:12" ht="11.25">
      <c r="A49" s="2" t="s">
        <v>43</v>
      </c>
      <c r="B49" s="2"/>
      <c r="C49" s="28">
        <f aca="true" t="shared" si="10" ref="C49:L49">C25/(C13+C16)</f>
        <v>0.14656279428131153</v>
      </c>
      <c r="D49" s="28">
        <f t="shared" si="10"/>
        <v>0.11625612162853592</v>
      </c>
      <c r="E49" s="28">
        <f t="shared" si="10"/>
        <v>0.11450958746310207</v>
      </c>
      <c r="F49" s="30">
        <f t="shared" si="10"/>
        <v>0.08887797411676014</v>
      </c>
      <c r="G49" s="28">
        <f t="shared" si="10"/>
        <v>0.09169971474292075</v>
      </c>
      <c r="H49" s="28">
        <f t="shared" si="10"/>
        <v>0.06899975179945396</v>
      </c>
      <c r="I49" s="28">
        <f t="shared" si="10"/>
        <v>0.0679898458911803</v>
      </c>
      <c r="J49" s="30">
        <f t="shared" si="10"/>
        <v>0.10307140107058137</v>
      </c>
      <c r="K49" s="28">
        <f t="shared" si="10"/>
        <v>0.08259174082591741</v>
      </c>
      <c r="L49" s="28">
        <f t="shared" si="10"/>
        <v>0.02445875764197935</v>
      </c>
    </row>
    <row r="50" spans="1:10" ht="11.25">
      <c r="A50" s="4" t="s">
        <v>44</v>
      </c>
      <c r="C50" s="16"/>
      <c r="G50" s="22"/>
      <c r="H50" s="16"/>
      <c r="I50" s="16"/>
      <c r="J50" s="23"/>
    </row>
    <row r="51" spans="1:12" ht="11.25">
      <c r="A51" s="1" t="s">
        <v>45</v>
      </c>
      <c r="C51" s="32">
        <f aca="true" t="shared" si="11" ref="C51:L51">C12/C17</f>
        <v>0.3133790348209016</v>
      </c>
      <c r="D51" s="33">
        <f t="shared" si="11"/>
        <v>0.170004446255882</v>
      </c>
      <c r="E51" s="33">
        <f t="shared" si="11"/>
        <v>0.33285795778665145</v>
      </c>
      <c r="F51" s="25">
        <f t="shared" si="11"/>
        <v>0.05434392210072631</v>
      </c>
      <c r="G51" s="26">
        <f t="shared" si="11"/>
        <v>0.10887794220284637</v>
      </c>
      <c r="H51" s="24">
        <f t="shared" si="11"/>
        <v>0.17826321202919135</v>
      </c>
      <c r="I51" s="24">
        <f t="shared" si="11"/>
        <v>0.11439942959912311</v>
      </c>
      <c r="J51" s="27">
        <f t="shared" si="11"/>
        <v>0.13330801791438177</v>
      </c>
      <c r="K51" s="25">
        <f t="shared" si="11"/>
        <v>0.21564859913311588</v>
      </c>
      <c r="L51" s="25">
        <f t="shared" si="11"/>
        <v>0.09240295400056187</v>
      </c>
    </row>
    <row r="52" spans="1:12" ht="11.25">
      <c r="A52" s="1" t="s">
        <v>46</v>
      </c>
      <c r="C52" s="32">
        <f aca="true" t="shared" si="12" ref="C52:L52">C12/C11</f>
        <v>0.25749222241287983</v>
      </c>
      <c r="D52" s="33">
        <f t="shared" si="12"/>
        <v>0.15145488455000083</v>
      </c>
      <c r="E52" s="33">
        <f t="shared" si="12"/>
        <v>0.2894991441542011</v>
      </c>
      <c r="F52" s="25">
        <f t="shared" si="12"/>
        <v>0.04954340391472022</v>
      </c>
      <c r="G52" s="26">
        <f t="shared" si="12"/>
        <v>0.09769113482901329</v>
      </c>
      <c r="H52" s="24">
        <f t="shared" si="12"/>
        <v>0.16357752808988765</v>
      </c>
      <c r="I52" s="24">
        <f t="shared" si="12"/>
        <v>0.10385570336878919</v>
      </c>
      <c r="J52" s="27">
        <f t="shared" si="12"/>
        <v>0.11744101383395321</v>
      </c>
      <c r="K52" s="25">
        <f t="shared" si="12"/>
        <v>0.1972271320126281</v>
      </c>
      <c r="L52" s="25">
        <f t="shared" si="12"/>
        <v>0.07570602942984793</v>
      </c>
    </row>
    <row r="53" spans="1:12" ht="11.25">
      <c r="A53" s="2" t="s">
        <v>47</v>
      </c>
      <c r="B53" s="2"/>
      <c r="C53" s="34">
        <f aca="true" t="shared" si="13" ref="C53:L53">(C12+C16)/C17</f>
        <v>1.0197030916602352</v>
      </c>
      <c r="D53" s="34">
        <f t="shared" si="13"/>
        <v>0.7344844195783468</v>
      </c>
      <c r="E53" s="34">
        <f t="shared" si="13"/>
        <v>0.9110477277048868</v>
      </c>
      <c r="F53" s="28">
        <f t="shared" si="13"/>
        <v>0.6525460930640913</v>
      </c>
      <c r="G53" s="29">
        <f t="shared" si="13"/>
        <v>0.7139576990380627</v>
      </c>
      <c r="H53" s="28">
        <f t="shared" si="13"/>
        <v>0.7451339569966204</v>
      </c>
      <c r="I53" s="28">
        <f t="shared" si="13"/>
        <v>0.7287509710649257</v>
      </c>
      <c r="J53" s="30">
        <f t="shared" si="13"/>
        <v>0.6633793850586909</v>
      </c>
      <c r="K53" s="28">
        <f t="shared" si="13"/>
        <v>0.6134992627016399</v>
      </c>
      <c r="L53" s="28">
        <f t="shared" si="13"/>
        <v>0.4162847170109024</v>
      </c>
    </row>
    <row r="54" spans="1:10" ht="11.25">
      <c r="A54" s="4" t="s">
        <v>48</v>
      </c>
      <c r="C54" s="16"/>
      <c r="G54" s="22"/>
      <c r="H54" s="16"/>
      <c r="I54" s="16"/>
      <c r="J54" s="23"/>
    </row>
    <row r="55" spans="1:12" ht="11.25">
      <c r="A55" s="1" t="s">
        <v>49</v>
      </c>
      <c r="B55" s="16"/>
      <c r="C55" s="35">
        <f>C40/C28</f>
        <v>0.06443462484556393</v>
      </c>
      <c r="D55" s="35">
        <f>(D40/0.75)/D28</f>
        <v>0.02555391548151793</v>
      </c>
      <c r="E55" s="25">
        <f>(E40/0.5)/E28</f>
        <v>0.037942517665896985</v>
      </c>
      <c r="F55" s="25">
        <f>((F40)/0.25)/F28</f>
        <v>-0.006045316070068545</v>
      </c>
      <c r="G55" s="36">
        <f>G40/G28</f>
        <v>0.056961822778328904</v>
      </c>
      <c r="H55" s="35">
        <f>(H40/0.75)/H28</f>
        <v>0.04388826187434628</v>
      </c>
      <c r="I55" s="35">
        <f>(I40/0.5)/I28</f>
        <v>0.06645071252064581</v>
      </c>
      <c r="J55" s="27">
        <f>((J40)/0.25)/J28</f>
        <v>0.12900908297839586</v>
      </c>
      <c r="K55" s="25">
        <f>K40/K28</f>
        <v>0.02108551148161642</v>
      </c>
      <c r="L55" s="37" t="s">
        <v>50</v>
      </c>
    </row>
    <row r="56" spans="1:12" ht="11.25">
      <c r="A56" s="1" t="s">
        <v>51</v>
      </c>
      <c r="B56" s="16"/>
      <c r="C56" s="35">
        <f>C40/C27</f>
        <v>0.04740749233282696</v>
      </c>
      <c r="D56" s="35">
        <f>(D40/0.75)/D27</f>
        <v>0.01876997034207009</v>
      </c>
      <c r="E56" s="25">
        <f>(E40/0.5)/E27</f>
        <v>0.02913893121608255</v>
      </c>
      <c r="F56" s="25">
        <f>((F40)/0.25)/F27</f>
        <v>-0.004802011551295503</v>
      </c>
      <c r="G56" s="36">
        <f>G40/G27</f>
        <v>0.04277591667828185</v>
      </c>
      <c r="H56" s="35">
        <f>(H40/0.75)/H27</f>
        <v>0.03561227039964844</v>
      </c>
      <c r="I56" s="35">
        <f>(I40/0.5)/I27</f>
        <v>0.05931462465499803</v>
      </c>
      <c r="J56" s="27">
        <f>((J40)/0.25)/J27</f>
        <v>0.11039812929184255</v>
      </c>
      <c r="K56" s="25">
        <f>K40/K27</f>
        <v>0.00997017140599174</v>
      </c>
      <c r="L56" s="37" t="s">
        <v>24</v>
      </c>
    </row>
    <row r="57" spans="1:12" ht="11.25">
      <c r="A57" s="1" t="s">
        <v>52</v>
      </c>
      <c r="B57" s="16"/>
      <c r="C57" s="35">
        <f>+C40/C31</f>
        <v>0.53591927420848</v>
      </c>
      <c r="D57" s="35">
        <f>(D40/0.75)/D31</f>
        <v>0.2786044234412585</v>
      </c>
      <c r="E57" s="25">
        <f>(E40/0.5)/E31</f>
        <v>0.41933829186971017</v>
      </c>
      <c r="F57" s="25">
        <f>((F40)/0.25)/F31</f>
        <v>-0.06318407960199005</v>
      </c>
      <c r="G57" s="36">
        <f>+G40/G31</f>
        <v>0.6501095690284879</v>
      </c>
      <c r="H57" s="35">
        <f>(H40/0.75)/H31</f>
        <v>0.5482904658609647</v>
      </c>
      <c r="I57" s="35">
        <f>(I40/0.5)/I31</f>
        <v>0.7776445909499551</v>
      </c>
      <c r="J57" s="27">
        <f>((J40)/0.25)/J31</f>
        <v>1.4148434752022512</v>
      </c>
      <c r="K57" s="25">
        <f>K40/K31</f>
        <v>0.3658385642295111</v>
      </c>
      <c r="L57" s="37" t="s">
        <v>24</v>
      </c>
    </row>
    <row r="58" spans="1:12" ht="11.25">
      <c r="A58" s="1" t="s">
        <v>53</v>
      </c>
      <c r="B58" s="16"/>
      <c r="C58" s="35">
        <f>C33/C28</f>
        <v>0.06290974255089433</v>
      </c>
      <c r="D58" s="35">
        <f>(D33/0.75)/D28</f>
        <v>0.06752419109205501</v>
      </c>
      <c r="E58" s="25">
        <f>(E33/0.5)/E28</f>
        <v>0.06873745402225497</v>
      </c>
      <c r="F58" s="25">
        <f>((F33)/0.25)/F28</f>
        <v>0.07163937547600914</v>
      </c>
      <c r="G58" s="36">
        <f>G33/G28</f>
        <v>0.08676117635764344</v>
      </c>
      <c r="H58" s="35">
        <f>(H33/0.75)/H28</f>
        <v>0.08208791708525055</v>
      </c>
      <c r="I58" s="35">
        <f>(I33/0.5)/I28</f>
        <v>0.08176382469303356</v>
      </c>
      <c r="J58" s="27">
        <f>((J33)/0.25)/J28</f>
        <v>0.08113101041720121</v>
      </c>
      <c r="K58" s="25">
        <f>K33/K28</f>
        <v>0.06456100301403578</v>
      </c>
      <c r="L58" s="37" t="s">
        <v>24</v>
      </c>
    </row>
    <row r="59" spans="1:12" ht="11.25">
      <c r="A59" s="1" t="s">
        <v>54</v>
      </c>
      <c r="B59" s="16"/>
      <c r="C59" s="35">
        <f>C34/C28</f>
        <v>0.05911423260576784</v>
      </c>
      <c r="D59" s="35">
        <f>(D34/0.75)/D28</f>
        <v>0.06546238373046555</v>
      </c>
      <c r="E59" s="25">
        <f>(E34/0.5)/E28</f>
        <v>0.06616153997888215</v>
      </c>
      <c r="F59" s="25">
        <f>((F34)/0.25)/F28</f>
        <v>0.07187738004569688</v>
      </c>
      <c r="G59" s="36">
        <f>G34/G28</f>
        <v>0.07739127652084866</v>
      </c>
      <c r="H59" s="35">
        <f>(H34/0.75)/H28</f>
        <v>0.07252973495888576</v>
      </c>
      <c r="I59" s="35">
        <f>(I34/0.5)/I28</f>
        <v>0.0710344032879659</v>
      </c>
      <c r="J59" s="27">
        <f>((J34)/0.25)/J28</f>
        <v>0.06799404731359368</v>
      </c>
      <c r="K59" s="25">
        <f>K34/K28</f>
        <v>0.03964361511043397</v>
      </c>
      <c r="L59" s="37" t="s">
        <v>55</v>
      </c>
    </row>
    <row r="60" spans="1:12" ht="11.25">
      <c r="A60" s="1" t="s">
        <v>56</v>
      </c>
      <c r="B60" s="16"/>
      <c r="C60" s="35">
        <f>C35/C28</f>
        <v>0.0037955099451264986</v>
      </c>
      <c r="D60" s="35">
        <f>(D35/0.75)/D28</f>
        <v>0.002061807361589466</v>
      </c>
      <c r="E60" s="25">
        <f>(E35/0.5)/E28</f>
        <v>0.002575914043372823</v>
      </c>
      <c r="F60" s="25">
        <f>((F35)/0.25)/F28</f>
        <v>-0.000238004569687738</v>
      </c>
      <c r="G60" s="36">
        <f>G35/G28</f>
        <v>0.009369899836794777</v>
      </c>
      <c r="H60" s="35">
        <f>(H35/0.75)/H28</f>
        <v>0.00955818212636479</v>
      </c>
      <c r="I60" s="35">
        <f>(I35/0.5)/I28</f>
        <v>0.010729421405067666</v>
      </c>
      <c r="J60" s="27">
        <f>((J35)/0.25)/J28</f>
        <v>0.013136963103607534</v>
      </c>
      <c r="K60" s="25">
        <f>K35/K28</f>
        <v>0.02491738790360181</v>
      </c>
      <c r="L60" s="37" t="s">
        <v>24</v>
      </c>
    </row>
    <row r="61" spans="1:12" ht="11.25">
      <c r="A61" s="1" t="s">
        <v>57</v>
      </c>
      <c r="B61" s="16"/>
      <c r="C61" s="35">
        <f>C38/C37</f>
        <v>0.03403320982571703</v>
      </c>
      <c r="D61" s="35">
        <f>(D38/0.75)/(D37/0.75)</f>
        <v>0.06840916424653114</v>
      </c>
      <c r="E61" s="25">
        <f>(E38/0.5)/(E37/0.5)</f>
        <v>0.04885343968095713</v>
      </c>
      <c r="F61" s="25">
        <f>(F38/0.25)/(F37/0.25)</f>
        <v>3.12</v>
      </c>
      <c r="G61" s="36">
        <f>G38/G37</f>
        <v>0.050975706889685383</v>
      </c>
      <c r="H61" s="35">
        <f>(H38/0.75)/(H37/0.75)</f>
        <v>0.042042042042042045</v>
      </c>
      <c r="I61" s="35">
        <f>(I38/0.5)/(I37/0.5)</f>
        <v>0.030357142857142857</v>
      </c>
      <c r="J61" s="27">
        <f>(J38/0.25)/(J37/0.25)</f>
        <v>0.01687116564417178</v>
      </c>
      <c r="K61" s="25">
        <f>K38/K37</f>
        <v>0.15626226933647427</v>
      </c>
      <c r="L61" s="25">
        <f>L38/L37</f>
        <v>0.06679343950558593</v>
      </c>
    </row>
    <row r="62" spans="1:12" ht="11.25">
      <c r="A62" s="2" t="s">
        <v>58</v>
      </c>
      <c r="B62" s="2"/>
      <c r="C62" s="38">
        <f>C36/C28</f>
        <v>0.07731264539251806</v>
      </c>
      <c r="D62" s="38">
        <f>(D36/0.75)/D28</f>
        <v>0.046343806377545045</v>
      </c>
      <c r="E62" s="28">
        <f>(E36/0.5)/E28</f>
        <v>0.06725224232157154</v>
      </c>
      <c r="F62" s="28">
        <f>(F36/0.25)/F28</f>
        <v>0.0014280274181264281</v>
      </c>
      <c r="G62" s="39">
        <f>G36/G28</f>
        <v>0.05491375724023169</v>
      </c>
      <c r="H62" s="38">
        <f>(H36/0.75)/H28</f>
        <v>0.040002149764146074</v>
      </c>
      <c r="I62" s="38">
        <f>(I36/0.5)/I28</f>
        <v>0.06097076936865421</v>
      </c>
      <c r="J62" s="30">
        <f>(J36/0.25)/J28</f>
        <v>0.12069584851439422</v>
      </c>
      <c r="K62" s="28">
        <f>K36/K28</f>
        <v>0.001039498391070505</v>
      </c>
      <c r="L62" s="40" t="s">
        <v>24</v>
      </c>
    </row>
    <row r="63" spans="1:10" ht="11.25">
      <c r="A63" s="4" t="s">
        <v>59</v>
      </c>
      <c r="C63" s="3"/>
      <c r="G63" s="22"/>
      <c r="H63" s="16"/>
      <c r="I63" s="16"/>
      <c r="J63" s="23"/>
    </row>
    <row r="64" spans="1:12" ht="11.25">
      <c r="A64" s="1" t="s">
        <v>71</v>
      </c>
      <c r="C64" s="16">
        <v>33</v>
      </c>
      <c r="D64" s="11">
        <v>33</v>
      </c>
      <c r="E64" s="11">
        <v>33</v>
      </c>
      <c r="F64" s="1">
        <v>32</v>
      </c>
      <c r="G64" s="12">
        <v>32</v>
      </c>
      <c r="H64" s="10">
        <v>31</v>
      </c>
      <c r="I64" s="10">
        <v>33</v>
      </c>
      <c r="J64" s="13">
        <v>33</v>
      </c>
      <c r="K64" s="11">
        <v>32</v>
      </c>
      <c r="L64" s="11">
        <v>31</v>
      </c>
    </row>
    <row r="65" spans="1:12" ht="11.25">
      <c r="A65" s="1" t="s">
        <v>60</v>
      </c>
      <c r="C65" s="16">
        <v>1</v>
      </c>
      <c r="D65" s="11">
        <v>1</v>
      </c>
      <c r="E65" s="11">
        <v>1</v>
      </c>
      <c r="F65" s="1">
        <v>1</v>
      </c>
      <c r="G65" s="12">
        <v>1</v>
      </c>
      <c r="H65" s="10">
        <v>1</v>
      </c>
      <c r="I65" s="10">
        <v>1</v>
      </c>
      <c r="J65" s="13">
        <v>1</v>
      </c>
      <c r="K65" s="11">
        <v>1</v>
      </c>
      <c r="L65" s="11">
        <v>1</v>
      </c>
    </row>
    <row r="66" spans="1:12" ht="11.25">
      <c r="A66" s="1" t="s">
        <v>61</v>
      </c>
      <c r="C66" s="10">
        <f aca="true" t="shared" si="14" ref="C66:L66">C13/C64</f>
        <v>474.45454545454544</v>
      </c>
      <c r="D66" s="11">
        <f t="shared" si="14"/>
        <v>640.8181818181819</v>
      </c>
      <c r="E66" s="11">
        <f t="shared" si="14"/>
        <v>682.5454545454545</v>
      </c>
      <c r="F66" s="11">
        <f t="shared" si="14"/>
        <v>862.125</v>
      </c>
      <c r="G66" s="12">
        <f t="shared" si="14"/>
        <v>825.5625</v>
      </c>
      <c r="H66" s="10">
        <f t="shared" si="14"/>
        <v>992.5483870967741</v>
      </c>
      <c r="I66" s="10">
        <f t="shared" si="14"/>
        <v>948.4242424242424</v>
      </c>
      <c r="J66" s="13">
        <f t="shared" si="14"/>
        <v>1001.6969696969697</v>
      </c>
      <c r="K66" s="11">
        <f t="shared" si="14"/>
        <v>1074.78125</v>
      </c>
      <c r="L66" s="11">
        <f t="shared" si="14"/>
        <v>4577.193548387097</v>
      </c>
    </row>
    <row r="67" spans="1:12" ht="11.25">
      <c r="A67" s="1" t="s">
        <v>62</v>
      </c>
      <c r="C67" s="10">
        <f aca="true" t="shared" si="15" ref="C67:L67">+C17/C64</f>
        <v>3337.4242424242425</v>
      </c>
      <c r="D67" s="11">
        <f t="shared" si="15"/>
        <v>3271.3939393939395</v>
      </c>
      <c r="E67" s="11">
        <f t="shared" si="15"/>
        <v>3187.2727272727275</v>
      </c>
      <c r="F67" s="11">
        <f t="shared" si="15"/>
        <v>3132.25</v>
      </c>
      <c r="G67" s="12">
        <f t="shared" si="15"/>
        <v>3089.46875</v>
      </c>
      <c r="H67" s="10">
        <f t="shared" si="15"/>
        <v>3293.064516129032</v>
      </c>
      <c r="I67" s="10">
        <f t="shared" si="15"/>
        <v>2847.5454545454545</v>
      </c>
      <c r="J67" s="13">
        <f t="shared" si="15"/>
        <v>2713.242424242424</v>
      </c>
      <c r="K67" s="11">
        <f t="shared" si="15"/>
        <v>2797.375</v>
      </c>
      <c r="L67" s="11">
        <f t="shared" si="15"/>
        <v>8382.290322580646</v>
      </c>
    </row>
    <row r="68" spans="1:12" ht="11.25">
      <c r="A68" s="2" t="s">
        <v>63</v>
      </c>
      <c r="B68" s="2"/>
      <c r="C68" s="17">
        <f aca="true" t="shared" si="16" ref="C68:L68">+C40/C64</f>
        <v>175.42424242424244</v>
      </c>
      <c r="D68" s="17">
        <f t="shared" si="16"/>
        <v>49.57575757575758</v>
      </c>
      <c r="E68" s="17">
        <f t="shared" si="16"/>
        <v>49.54545454545455</v>
      </c>
      <c r="F68" s="17">
        <f t="shared" si="16"/>
        <v>-3.96875</v>
      </c>
      <c r="G68" s="18">
        <f t="shared" si="16"/>
        <v>139.0625</v>
      </c>
      <c r="H68" s="17">
        <f t="shared" si="16"/>
        <v>85.61290322580645</v>
      </c>
      <c r="I68" s="17">
        <f t="shared" si="16"/>
        <v>78.63636363636364</v>
      </c>
      <c r="J68" s="19">
        <f t="shared" si="16"/>
        <v>76.18181818181819</v>
      </c>
      <c r="K68" s="17">
        <f t="shared" si="16"/>
        <v>64.65625</v>
      </c>
      <c r="L68" s="17">
        <f t="shared" si="16"/>
        <v>126.6774193548387</v>
      </c>
    </row>
    <row r="69" spans="1:12" ht="11.25">
      <c r="A69" s="4" t="s">
        <v>64</v>
      </c>
      <c r="C69" s="16"/>
      <c r="G69" s="22"/>
      <c r="H69" s="16"/>
      <c r="I69" s="16"/>
      <c r="J69" s="23"/>
      <c r="K69" s="3"/>
      <c r="L69" s="3"/>
    </row>
    <row r="70" spans="1:12" ht="11.25">
      <c r="A70" s="1" t="s">
        <v>65</v>
      </c>
      <c r="C70" s="24">
        <f>(C11/G11)-1</f>
        <v>0.21650148841937122</v>
      </c>
      <c r="D70" s="25">
        <f>(D11/H11)-1</f>
        <v>0.0892404494382022</v>
      </c>
      <c r="E70" s="25">
        <f>(E11/I11)-1</f>
        <v>0.1683331884183985</v>
      </c>
      <c r="F70" s="25">
        <f>+(F11/J11)-1</f>
        <v>0.08176397662199664</v>
      </c>
      <c r="G70" s="26">
        <f>+(G11/K11)-1</f>
        <v>0.125739448491474</v>
      </c>
      <c r="H70" s="24">
        <f>+(H11/87483)-1</f>
        <v>0.2716756398385971</v>
      </c>
      <c r="I70" s="24">
        <f>+(I11/71490)-1</f>
        <v>0.44788082249265626</v>
      </c>
      <c r="J70" s="27">
        <f>+(J11/80543)-1</f>
        <v>0.2618601244055969</v>
      </c>
      <c r="K70" s="24">
        <f>(K11/L11)-1</f>
        <v>-0.6913964831741608</v>
      </c>
      <c r="L70" s="24">
        <f>SUM(L71:L72)</f>
        <v>0</v>
      </c>
    </row>
    <row r="71" spans="1:12" ht="11.25">
      <c r="A71" s="1" t="s">
        <v>66</v>
      </c>
      <c r="C71" s="24">
        <f>(C13/G13)-1</f>
        <v>-0.4073359073359073</v>
      </c>
      <c r="D71" s="25">
        <f>(D13/H13)-1</f>
        <v>-0.31271734538009033</v>
      </c>
      <c r="E71" s="25">
        <f>(E13/I13)-1</f>
        <v>-0.2803374017509106</v>
      </c>
      <c r="F71" s="25">
        <f aca="true" t="shared" si="17" ref="F71:K71">SUM(F72:F73)</f>
        <v>-0.16541626331074544</v>
      </c>
      <c r="G71" s="26">
        <f t="shared" si="17"/>
        <v>-0.23187857994359318</v>
      </c>
      <c r="H71" s="24">
        <f t="shared" si="17"/>
        <v>-0.16896691424713028</v>
      </c>
      <c r="I71" s="24">
        <f t="shared" si="17"/>
        <v>0.05298926757056832</v>
      </c>
      <c r="J71" s="27">
        <f t="shared" si="17"/>
        <v>-0.16869530228347251</v>
      </c>
      <c r="K71" s="24">
        <f t="shared" si="17"/>
        <v>-0.7576131310212625</v>
      </c>
      <c r="L71" s="24">
        <f>SUM(L72:L73)</f>
        <v>0</v>
      </c>
    </row>
    <row r="72" spans="2:12" ht="11.25">
      <c r="B72" s="1" t="s">
        <v>15</v>
      </c>
      <c r="C72" s="24">
        <v>0</v>
      </c>
      <c r="D72" s="25">
        <v>0</v>
      </c>
      <c r="E72" s="25">
        <v>0</v>
      </c>
      <c r="F72" s="25">
        <v>0</v>
      </c>
      <c r="G72" s="26">
        <v>0</v>
      </c>
      <c r="H72" s="24">
        <v>0</v>
      </c>
      <c r="I72" s="24">
        <v>0</v>
      </c>
      <c r="J72" s="27">
        <v>0</v>
      </c>
      <c r="K72" s="24">
        <v>0</v>
      </c>
      <c r="L72" s="24">
        <v>0</v>
      </c>
    </row>
    <row r="73" spans="2:12" ht="11.25">
      <c r="B73" s="1" t="s">
        <v>16</v>
      </c>
      <c r="C73" s="24">
        <f>(C15/G15)-1</f>
        <v>-0.4073359073359073</v>
      </c>
      <c r="D73" s="25">
        <f>(D15/H15)-1</f>
        <v>-0.31271734538009033</v>
      </c>
      <c r="E73" s="25">
        <f>(E15/I15)-1</f>
        <v>-0.2803374017509106</v>
      </c>
      <c r="F73" s="25">
        <f>+(F15/J15)-1</f>
        <v>-0.16541626331074544</v>
      </c>
      <c r="G73" s="26">
        <f>+(G15/K15)-1</f>
        <v>-0.23187857994359318</v>
      </c>
      <c r="H73" s="24">
        <f>+(H15/37025)-1</f>
        <v>-0.16896691424713028</v>
      </c>
      <c r="I73" s="24">
        <f>+(I15/29723)-1</f>
        <v>0.05298926757056832</v>
      </c>
      <c r="J73" s="27">
        <f>+(J15/39764)-1</f>
        <v>-0.16869530228347251</v>
      </c>
      <c r="K73" s="24">
        <f>+(K15/L15)-1</f>
        <v>-0.7576131310212625</v>
      </c>
      <c r="L73" s="24">
        <v>0</v>
      </c>
    </row>
    <row r="74" spans="1:12" ht="11.25">
      <c r="A74" s="1" t="s">
        <v>67</v>
      </c>
      <c r="C74" s="24">
        <f>(C17/G17)-1</f>
        <v>0.11401636608235632</v>
      </c>
      <c r="D74" s="25">
        <f>(D17/H17)-1</f>
        <v>0.05751089778126062</v>
      </c>
      <c r="E74" s="25">
        <f>(E17/I17)-1</f>
        <v>0.11930530281262963</v>
      </c>
      <c r="F74" s="25">
        <f aca="true" t="shared" si="18" ref="F74:L74">SUM(F75:F76)</f>
        <v>0.11944782603839754</v>
      </c>
      <c r="G74" s="26">
        <f t="shared" si="18"/>
        <v>0.10441708744805389</v>
      </c>
      <c r="H74" s="24">
        <f t="shared" si="18"/>
        <v>0.29447642717658695</v>
      </c>
      <c r="I74" s="24">
        <f t="shared" si="18"/>
        <v>0.5577640369345025</v>
      </c>
      <c r="J74" s="27">
        <f t="shared" si="18"/>
        <v>0.4969488238342836</v>
      </c>
      <c r="K74" s="24">
        <f t="shared" si="18"/>
        <v>0</v>
      </c>
      <c r="L74" s="24">
        <f t="shared" si="18"/>
        <v>0</v>
      </c>
    </row>
    <row r="75" spans="2:12" ht="11.25">
      <c r="B75" s="1" t="s">
        <v>15</v>
      </c>
      <c r="C75" s="24">
        <v>0</v>
      </c>
      <c r="D75" s="25">
        <v>0</v>
      </c>
      <c r="E75" s="25">
        <v>0</v>
      </c>
      <c r="F75" s="25">
        <v>0</v>
      </c>
      <c r="G75" s="26">
        <v>0</v>
      </c>
      <c r="H75" s="24">
        <v>0</v>
      </c>
      <c r="I75" s="24">
        <v>0</v>
      </c>
      <c r="J75" s="27">
        <v>0</v>
      </c>
      <c r="K75" s="24">
        <v>0</v>
      </c>
      <c r="L75" s="24">
        <v>0</v>
      </c>
    </row>
    <row r="76" spans="2:12" ht="11.25">
      <c r="B76" s="1" t="s">
        <v>16</v>
      </c>
      <c r="C76" s="24">
        <f>(C22/G22)-1</f>
        <v>0.11401636608235632</v>
      </c>
      <c r="D76" s="25">
        <f>(D22/H22)-1</f>
        <v>0.05751089778126062</v>
      </c>
      <c r="E76" s="25">
        <f>(E22/I22)-1</f>
        <v>0.11930530281262963</v>
      </c>
      <c r="F76" s="25">
        <f>+(F22/J22)-1</f>
        <v>0.11944782603839754</v>
      </c>
      <c r="G76" s="26">
        <f>+(G22/K22)-1</f>
        <v>0.10441708744805389</v>
      </c>
      <c r="H76" s="24">
        <f>+(H22/78862)-1</f>
        <v>0.29447642717658695</v>
      </c>
      <c r="I76" s="24">
        <f>+(I22/60323)-1</f>
        <v>0.5577640369345025</v>
      </c>
      <c r="J76" s="27">
        <f>+(J22/59813)-1</f>
        <v>0.4969488238342836</v>
      </c>
      <c r="K76" s="24">
        <v>0</v>
      </c>
      <c r="L76" s="24">
        <v>0</v>
      </c>
    </row>
    <row r="77" spans="1:12" ht="11.25">
      <c r="A77" s="1" t="s">
        <v>22</v>
      </c>
      <c r="C77" s="24">
        <f>(C25/G25)-1</f>
        <v>0.7319170460293374</v>
      </c>
      <c r="D77" s="25">
        <f>(D25/H25)-1</f>
        <v>0.5603335513407457</v>
      </c>
      <c r="E77" s="25">
        <f>(E25/I25)-1</f>
        <v>0.5765735998678341</v>
      </c>
      <c r="F77" s="24">
        <f>+(F25/J25)-1</f>
        <v>-0.062417158693818586</v>
      </c>
      <c r="G77" s="26">
        <f>+(G25/K25)-1</f>
        <v>0.36769283984780343</v>
      </c>
      <c r="H77" s="24">
        <f>+(H25/6792)-1</f>
        <v>-0.09952885747938756</v>
      </c>
      <c r="I77" s="24">
        <f>+(I25/7295)-1</f>
        <v>-0.17025359835503773</v>
      </c>
      <c r="J77" s="27">
        <f>+(J25/5916)-1</f>
        <v>0.40280594996619334</v>
      </c>
      <c r="K77" s="24">
        <f>+(K25/L25)-1</f>
        <v>0.04575872671369141</v>
      </c>
      <c r="L77" s="24">
        <v>0</v>
      </c>
    </row>
    <row r="78" spans="1:12" ht="11.25">
      <c r="A78" s="2" t="s">
        <v>68</v>
      </c>
      <c r="B78" s="2"/>
      <c r="C78" s="28">
        <f>(C40/G40)-1</f>
        <v>0.3008988764044944</v>
      </c>
      <c r="D78" s="28">
        <f>(D40/H40)-1</f>
        <v>-0.38357196684250183</v>
      </c>
      <c r="E78" s="28">
        <f>(E40/I40)-1</f>
        <v>-0.36994219653179194</v>
      </c>
      <c r="F78" s="28">
        <f>+(F40/J40)-1</f>
        <v>-1.0505171042163883</v>
      </c>
      <c r="G78" s="29">
        <f>+(G40/K40)-1</f>
        <v>1.1507974867085546</v>
      </c>
      <c r="H78" s="28">
        <f>+(H40/2033)-1</f>
        <v>0.30545991146089513</v>
      </c>
      <c r="I78" s="28">
        <f>+(I40/2542)-1</f>
        <v>0.020849724626278432</v>
      </c>
      <c r="J78" s="30">
        <f>+(J40/524)-1</f>
        <v>3.7977099236641223</v>
      </c>
      <c r="K78" s="28">
        <f>+(K40/L40)-1</f>
        <v>-0.4731347084288261</v>
      </c>
      <c r="L78" s="28">
        <v>0</v>
      </c>
    </row>
    <row r="79" ht="11.25">
      <c r="A79" s="1" t="s">
        <v>69</v>
      </c>
    </row>
    <row r="80" ht="11.25">
      <c r="A80" s="1" t="s">
        <v>70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757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2002-03-19T16:29:52Z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